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DieseArbeitsmappe"/>
  <bookViews>
    <workbookView xWindow="315" yWindow="-105" windowWidth="29040" windowHeight="16440" tabRatio="923" activeTab="8"/>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D431" i="29" s="1"/>
  <c r="R389" i="29"/>
  <c r="X49" i="29"/>
  <c r="X805" i="29"/>
  <c r="D221" i="29"/>
  <c r="D53" i="29"/>
  <c r="D347" i="29"/>
  <c r="D137" i="29"/>
  <c r="D95" i="29"/>
  <c r="D179" i="29"/>
  <c r="D389" i="29"/>
  <c r="D263"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9" i="28" l="1"/>
  <c r="Y257" i="28"/>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S162" i="26" s="1"/>
  <c r="D76" i="26"/>
  <c r="S97" i="26"/>
  <c r="S98" i="26" s="1"/>
  <c r="M4" i="19"/>
  <c r="K4" i="19"/>
  <c r="I4" i="19"/>
  <c r="G4" i="19"/>
  <c r="M3" i="19"/>
  <c r="K3" i="19"/>
  <c r="G3" i="19"/>
  <c r="K123" i="10"/>
  <c r="R141" i="26" l="1"/>
  <c r="S99" i="26"/>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63" i="31"/>
  <c r="S54" i="20"/>
  <c r="S8" i="20"/>
  <c r="S23" i="20"/>
  <c r="G2" i="38"/>
  <c r="M2" i="31"/>
  <c r="I2" i="39"/>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9"/>
  <c r="G2" i="10"/>
  <c r="I2" i="19"/>
  <c r="G2" i="20"/>
  <c r="J2" i="7"/>
  <c r="I2" i="30"/>
  <c r="S160" i="31"/>
  <c r="G2" i="39"/>
  <c r="S116" i="31"/>
  <c r="G2" i="9"/>
  <c r="M2" i="16"/>
  <c r="I2" i="10"/>
  <c r="M2" i="20"/>
  <c r="I2" i="26"/>
  <c r="I2" i="38"/>
  <c r="H2" i="28"/>
  <c r="S51" i="20"/>
  <c r="I2" i="20"/>
  <c r="G2" i="28"/>
  <c r="G2" i="30"/>
  <c r="D54" i="20"/>
  <c r="H2" i="7"/>
  <c r="N2" i="7"/>
  <c r="G2" i="29"/>
  <c r="G2" i="19"/>
  <c r="I2" i="29"/>
  <c r="G2" i="26"/>
  <c r="M2" i="30"/>
  <c r="M2" i="19"/>
  <c r="D8" i="20"/>
  <c r="I2" i="9"/>
  <c r="M2" i="39"/>
  <c r="G2" i="16"/>
  <c r="M2" i="38"/>
  <c r="M2" i="10"/>
  <c r="G2" i="31"/>
  <c r="M2" i="26"/>
  <c r="M2" i="29"/>
  <c r="I2" i="16"/>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31"/>
  <c r="K2" i="16"/>
  <c r="K2" i="29"/>
  <c r="S38" i="20"/>
  <c r="K2" i="19"/>
  <c r="K2" i="9"/>
  <c r="S42" i="20"/>
  <c r="K2" i="38"/>
  <c r="K2" i="30"/>
  <c r="K2" i="20"/>
  <c r="S50" i="20"/>
  <c r="K2" i="26"/>
  <c r="I2" i="28"/>
  <c r="K2" i="1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42" i="20"/>
  <c r="S43" i="20"/>
  <c r="D50" i="20"/>
  <c r="D51" i="20"/>
  <c r="S557" i="26" l="1"/>
  <c r="S430" i="26"/>
  <c r="S621" i="26"/>
  <c r="S493" i="26"/>
  <c r="S494" i="26" s="1"/>
  <c r="T46" i="20"/>
  <c r="K34" i="30"/>
  <c r="J34" i="30"/>
  <c r="S45" i="20"/>
  <c r="S44" i="20"/>
  <c r="E43" i="20"/>
  <c r="S46" i="20"/>
  <c r="S622" i="26" l="1"/>
  <c r="S623" i="26" s="1"/>
  <c r="S558" i="26"/>
  <c r="S495" i="26"/>
  <c r="L49" i="30"/>
  <c r="M49" i="30" s="1"/>
  <c r="J49" i="30"/>
  <c r="L34" i="30"/>
  <c r="E44" i="20"/>
  <c r="E46" i="20"/>
  <c r="E45"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S40" i="20"/>
  <c r="D28" i="20"/>
  <c r="E33" i="20"/>
  <c r="D23" i="20"/>
  <c r="S36" i="20"/>
  <c r="S24" i="20"/>
  <c r="S26" i="20"/>
  <c r="S35" i="20"/>
  <c r="S32" i="20"/>
  <c r="C3" i="4" l="1"/>
  <c r="H59" i="20" s="1"/>
  <c r="U2" i="10"/>
  <c r="S25" i="20"/>
  <c r="T16" i="20" l="1"/>
  <c r="S2" i="31"/>
  <c r="G97" i="3"/>
  <c r="G95" i="3"/>
  <c r="G94" i="3"/>
  <c r="G93" i="3"/>
  <c r="G92" i="3"/>
  <c r="G89" i="3"/>
  <c r="G88" i="3"/>
  <c r="G84" i="3"/>
  <c r="G83" i="3"/>
  <c r="G82" i="3"/>
  <c r="G80" i="3"/>
  <c r="G81" i="3"/>
  <c r="S61" i="10"/>
  <c r="E24" i="20"/>
  <c r="D32" i="20"/>
  <c r="S16" i="20"/>
  <c r="S39" i="20"/>
  <c r="E40" i="20"/>
  <c r="E36" i="20"/>
  <c r="D38" i="20"/>
  <c r="E26" i="20"/>
  <c r="D35"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E39" i="20"/>
  <c r="S30" i="20"/>
  <c r="S17" i="20"/>
  <c r="D16"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7" i="20"/>
  <c r="S18" i="20"/>
  <c r="E30"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150" i="31"/>
  <c r="E18" i="20"/>
  <c r="S19" i="20"/>
  <c r="G84" i="31"/>
  <c r="E2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E20"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E21" i="20"/>
  <c r="S10" i="20"/>
  <c r="D14" i="20"/>
  <c r="S12"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E553" i="26"/>
  <c r="E293" i="26"/>
  <c r="E698" i="29"/>
  <c r="E530" i="29"/>
  <c r="E278" i="29"/>
  <c r="R278" i="29" s="1"/>
  <c r="E110" i="29"/>
  <c r="R110" i="29" s="1"/>
  <c r="E26" i="29"/>
  <c r="E618" i="26"/>
  <c r="E358" i="26"/>
  <c r="E488" i="26"/>
  <c r="E228" i="26"/>
  <c r="E782" i="29"/>
  <c r="E614" i="29"/>
  <c r="E446" i="29"/>
  <c r="E362" i="29"/>
  <c r="E194" i="29"/>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U131" i="29"/>
  <c r="T116" i="29"/>
  <c r="X110" i="29"/>
  <c r="T131" i="29"/>
  <c r="R111" i="29"/>
  <c r="X117" i="29"/>
  <c r="L106" i="29"/>
  <c r="T130" i="29"/>
  <c r="X115" i="29"/>
  <c r="V131" i="29"/>
  <c r="R113" i="29"/>
  <c r="V130" i="29"/>
  <c r="T110" i="29"/>
  <c r="X114" i="29"/>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T193" i="29"/>
  <c r="R215" i="29"/>
  <c r="T195" i="29"/>
  <c r="X198" i="29"/>
  <c r="V198" i="29" s="1"/>
  <c r="X194" i="29"/>
  <c r="V194" i="29" s="1"/>
  <c r="V214" i="29"/>
  <c r="R200" i="29"/>
  <c r="T194" i="29"/>
  <c r="T214" i="29"/>
  <c r="T197" i="29"/>
  <c r="U214" i="29"/>
  <c r="X193" i="29"/>
  <c r="R194" i="29"/>
  <c r="T198" i="29"/>
  <c r="X202" i="29"/>
  <c r="T190" i="29"/>
  <c r="R190" i="29"/>
  <c r="X179" i="29"/>
  <c r="X195" i="29"/>
  <c r="V195" i="29" s="1"/>
  <c r="L204" i="29"/>
  <c r="V217" i="29"/>
  <c r="X196" i="29"/>
  <c r="S214" i="29"/>
  <c r="T199" i="29"/>
  <c r="R214" i="29"/>
  <c r="J207" i="29"/>
  <c r="E182" i="29"/>
  <c r="X197" i="29"/>
  <c r="V197" i="29" s="1"/>
  <c r="T202" i="29"/>
  <c r="S299" i="29"/>
  <c r="X284" i="29"/>
  <c r="R280" i="29"/>
  <c r="V299" i="29"/>
  <c r="X285" i="29"/>
  <c r="R281" i="29"/>
  <c r="X286"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X74" i="29"/>
  <c r="S89" i="29"/>
  <c r="R69" i="29"/>
  <c r="X73" i="29"/>
  <c r="V73" i="29" s="1"/>
  <c r="X75" i="29"/>
  <c r="V75" i="29" s="1"/>
  <c r="R64" i="29"/>
  <c r="T67" i="29"/>
  <c r="T71" i="29"/>
  <c r="J81" i="29"/>
  <c r="X68" i="29"/>
  <c r="V68" i="29" s="1"/>
  <c r="V88" i="29"/>
  <c r="S88" i="29"/>
  <c r="X72" i="29"/>
  <c r="V72" i="29" s="1"/>
  <c r="U89" i="29"/>
  <c r="T69" i="29"/>
  <c r="R75" i="29"/>
  <c r="V89" i="29"/>
  <c r="X53" i="29"/>
  <c r="X70" i="29"/>
  <c r="V70" i="29" s="1"/>
  <c r="T76" i="29"/>
  <c r="V91" i="29"/>
  <c r="X69" i="29"/>
  <c r="V69" i="29" s="1"/>
  <c r="T75" i="29"/>
  <c r="T74" i="29"/>
  <c r="L64" i="29"/>
  <c r="L78" i="29" s="1"/>
  <c r="R68" i="29"/>
  <c r="T72" i="29"/>
  <c r="R88" i="29"/>
  <c r="X71" i="29"/>
  <c r="U88" i="29"/>
  <c r="T68" i="29"/>
  <c r="R73" i="29"/>
  <c r="E56" i="29"/>
  <c r="T64" i="29"/>
  <c r="T89" i="29" s="1"/>
  <c r="X157" i="29"/>
  <c r="V157" i="29" s="1"/>
  <c r="V175" i="29"/>
  <c r="T160" i="29"/>
  <c r="X154" i="29"/>
  <c r="V154" i="29" s="1"/>
  <c r="X137" i="29"/>
  <c r="X156" i="29"/>
  <c r="V156" i="29" s="1"/>
  <c r="U172" i="29"/>
  <c r="T157" i="29"/>
  <c r="X151" i="29"/>
  <c r="T158" i="29"/>
  <c r="J165" i="29"/>
  <c r="T148" i="29"/>
  <c r="T172" i="29" s="1"/>
  <c r="V172" i="29"/>
  <c r="T152" i="29"/>
  <c r="V173" i="29"/>
  <c r="R155" i="29"/>
  <c r="T159" i="29"/>
  <c r="E140" i="29"/>
  <c r="T156" i="29"/>
  <c r="R148" i="29"/>
  <c r="R173" i="29"/>
  <c r="T153" i="29"/>
  <c r="S172" i="29"/>
  <c r="R157" i="29"/>
  <c r="T151" i="29"/>
  <c r="S173" i="29"/>
  <c r="X158" i="29"/>
  <c r="R154" i="29"/>
  <c r="U173" i="29"/>
  <c r="R156" i="29"/>
  <c r="X155" i="29"/>
  <c r="V155" i="29" s="1"/>
  <c r="T154" i="29"/>
  <c r="T155" i="29"/>
  <c r="X159" i="29"/>
  <c r="V159" i="29" s="1"/>
  <c r="L148" i="29"/>
  <c r="L162" i="29" s="1"/>
  <c r="X152" i="29"/>
  <c r="V152" i="29" s="1"/>
  <c r="X153" i="29"/>
  <c r="V153" i="29" s="1"/>
  <c r="R172" i="29"/>
  <c r="R159" i="29"/>
  <c r="X160" i="29"/>
  <c r="R152" i="29"/>
  <c r="V257" i="29"/>
  <c r="X243" i="29"/>
  <c r="R239" i="29"/>
  <c r="L232" i="29"/>
  <c r="T238" i="29"/>
  <c r="S256" i="29"/>
  <c r="T235" i="29"/>
  <c r="T240" i="29"/>
  <c r="R238" i="29"/>
  <c r="R257" i="29"/>
  <c r="T237" i="29"/>
  <c r="U257" i="29"/>
  <c r="T242" i="29"/>
  <c r="X236" i="29"/>
  <c r="V236" i="29" s="1"/>
  <c r="J249" i="29"/>
  <c r="T239" i="29"/>
  <c r="T232" i="29"/>
  <c r="X238" i="29"/>
  <c r="V238" i="29" s="1"/>
  <c r="X242" i="29"/>
  <c r="V242" i="29" s="1"/>
  <c r="T236" i="29"/>
  <c r="U256" i="29"/>
  <c r="X235" i="29"/>
  <c r="X240" i="29"/>
  <c r="T243" i="29"/>
  <c r="E224" i="29"/>
  <c r="V259" i="29"/>
  <c r="L246" i="29"/>
  <c r="X241" i="29"/>
  <c r="V241" i="29" s="1"/>
  <c r="V256" i="29"/>
  <c r="R256" i="29"/>
  <c r="T241" i="29"/>
  <c r="R236" i="29"/>
  <c r="R232" i="29"/>
  <c r="T256" i="29"/>
  <c r="X237" i="29"/>
  <c r="V237" i="29" s="1"/>
  <c r="S257" i="29"/>
  <c r="T244" i="29"/>
  <c r="X239" i="29"/>
  <c r="T257" i="29"/>
  <c r="X221" i="29"/>
  <c r="X244" i="29"/>
  <c r="R237" i="29"/>
  <c r="T327" i="29"/>
  <c r="X321" i="29"/>
  <c r="V321" i="29" s="1"/>
  <c r="E308" i="29"/>
  <c r="R340" i="29"/>
  <c r="T324" i="29"/>
  <c r="R316" i="29"/>
  <c r="X328" i="29"/>
  <c r="V328" i="29" s="1"/>
  <c r="L330" i="29"/>
  <c r="X323" i="29"/>
  <c r="R319" i="29"/>
  <c r="X320" i="29"/>
  <c r="S341" i="29"/>
  <c r="U341" i="29"/>
  <c r="R341" i="29"/>
  <c r="T321" i="29"/>
  <c r="R328"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92" i="7"/>
  <c r="G292" i="7" s="1"/>
  <c r="D271" i="7"/>
  <c r="G271" i="7" s="1"/>
  <c r="D288" i="7"/>
  <c r="G288" i="7" s="1"/>
  <c r="D270" i="7"/>
  <c r="D295" i="7"/>
  <c r="G295" i="7" s="1"/>
  <c r="D278" i="7"/>
  <c r="G278" i="7" s="1"/>
  <c r="D291" i="7"/>
  <c r="G291" i="7" s="1"/>
  <c r="D274" i="7"/>
  <c r="G274" i="7" s="1"/>
  <c r="D298" i="7"/>
  <c r="G298" i="7" s="1"/>
  <c r="D279" i="7"/>
  <c r="G279" i="7" s="1"/>
  <c r="AB270" i="7"/>
  <c r="D277" i="7"/>
  <c r="G277" i="7" s="1"/>
  <c r="D443" i="7"/>
  <c r="G443" i="7" s="1"/>
  <c r="D424" i="7"/>
  <c r="G424" i="7" s="1"/>
  <c r="AB414" i="7"/>
  <c r="D420" i="7"/>
  <c r="G420" i="7" s="1"/>
  <c r="D418" i="7"/>
  <c r="G418" i="7" s="1"/>
  <c r="D440" i="7"/>
  <c r="G440" i="7" s="1"/>
  <c r="D431" i="7"/>
  <c r="G431" i="7" s="1"/>
  <c r="D433" i="7"/>
  <c r="G433"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56" i="7"/>
  <c r="G356" i="7" s="1"/>
  <c r="D371" i="7"/>
  <c r="G371" i="7" s="1"/>
  <c r="D372" i="7"/>
  <c r="G372" i="7" s="1"/>
  <c r="D357" i="7"/>
  <c r="G357" i="7" s="1"/>
  <c r="D349" i="7"/>
  <c r="G349" i="7" s="1"/>
  <c r="D343" i="7"/>
  <c r="G343" i="7" s="1"/>
  <c r="D367" i="7"/>
  <c r="G367" i="7" s="1"/>
  <c r="D348" i="7"/>
  <c r="G348" i="7" s="1"/>
  <c r="D368" i="7"/>
  <c r="G368" i="7" s="1"/>
  <c r="D347" i="7"/>
  <c r="G347" i="7" s="1"/>
  <c r="D360" i="7"/>
  <c r="G360" i="7" s="1"/>
  <c r="D365" i="7"/>
  <c r="G365" i="7" s="1"/>
  <c r="D363" i="7"/>
  <c r="G363" i="7" s="1"/>
  <c r="D344" i="7"/>
  <c r="G344" i="7" s="1"/>
  <c r="D351" i="7"/>
  <c r="G351" i="7" s="1"/>
  <c r="D361" i="7"/>
  <c r="G361" i="7" s="1"/>
  <c r="D488" i="7"/>
  <c r="G488" i="7" s="1"/>
  <c r="D509" i="7"/>
  <c r="G509" i="7" s="1"/>
  <c r="D511" i="7"/>
  <c r="G511" i="7" s="1"/>
  <c r="D512" i="7"/>
  <c r="G512" i="7" s="1"/>
  <c r="D506" i="7"/>
  <c r="G506" i="7" s="1"/>
  <c r="D495" i="7"/>
  <c r="G495" i="7" s="1"/>
  <c r="D501" i="7"/>
  <c r="G501" i="7" s="1"/>
  <c r="D498" i="7"/>
  <c r="G498" i="7" s="1"/>
  <c r="D490" i="7"/>
  <c r="G490" i="7" s="1"/>
  <c r="D513" i="7"/>
  <c r="G513" i="7" s="1"/>
  <c r="D516" i="7"/>
  <c r="G516" i="7" s="1"/>
  <c r="D497" i="7"/>
  <c r="G497" i="7" s="1"/>
  <c r="D504" i="7"/>
  <c r="G504" i="7" s="1"/>
  <c r="D505" i="7"/>
  <c r="G505" i="7" s="1"/>
  <c r="D502" i="7"/>
  <c r="G502" i="7" s="1"/>
  <c r="D494" i="7"/>
  <c r="G494"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12" i="20"/>
  <c r="R243" i="29" l="1"/>
  <c r="R114" i="29"/>
  <c r="D493" i="7"/>
  <c r="G493" i="7" s="1"/>
  <c r="D514" i="7"/>
  <c r="G514" i="7" s="1"/>
  <c r="D487" i="7"/>
  <c r="G487" i="7" s="1"/>
  <c r="D503" i="7"/>
  <c r="G503" i="7" s="1"/>
  <c r="D346" i="7"/>
  <c r="G346" i="7" s="1"/>
  <c r="D359" i="7"/>
  <c r="G359" i="7" s="1"/>
  <c r="D350" i="7"/>
  <c r="G350" i="7" s="1"/>
  <c r="D366" i="7"/>
  <c r="G366" i="7" s="1"/>
  <c r="D432" i="7"/>
  <c r="G432" i="7" s="1"/>
  <c r="D417" i="7"/>
  <c r="G417" i="7" s="1"/>
  <c r="D299" i="7"/>
  <c r="G299" i="7" s="1"/>
  <c r="D272" i="7"/>
  <c r="G272" i="7" s="1"/>
  <c r="D273" i="7"/>
  <c r="G273" i="7" s="1"/>
  <c r="D293" i="7"/>
  <c r="G293" i="7" s="1"/>
  <c r="R324" i="29"/>
  <c r="R242" i="29"/>
  <c r="V243" i="29"/>
  <c r="R74" i="29"/>
  <c r="R70" i="29"/>
  <c r="R285" i="29"/>
  <c r="R199" i="29"/>
  <c r="R116" i="29"/>
  <c r="V116" i="29"/>
  <c r="V74" i="29"/>
  <c r="V281" i="29"/>
  <c r="D496" i="7"/>
  <c r="G496" i="7" s="1"/>
  <c r="D489" i="7"/>
  <c r="G489" i="7" s="1"/>
  <c r="D510" i="7"/>
  <c r="G510" i="7" s="1"/>
  <c r="D492" i="7"/>
  <c r="G492" i="7" s="1"/>
  <c r="D355" i="7"/>
  <c r="G355" i="7" s="1"/>
  <c r="D358" i="7"/>
  <c r="G358" i="7" s="1"/>
  <c r="D369" i="7"/>
  <c r="G369" i="7" s="1"/>
  <c r="D345" i="7"/>
  <c r="G345" i="7" s="1"/>
  <c r="D423" i="7"/>
  <c r="G423" i="7" s="1"/>
  <c r="D422" i="7"/>
  <c r="G422" i="7" s="1"/>
  <c r="D284" i="7"/>
  <c r="G284" i="7" s="1"/>
  <c r="D281" i="7"/>
  <c r="G281" i="7" s="1"/>
  <c r="D275" i="7"/>
  <c r="G275" i="7" s="1"/>
  <c r="D290" i="7"/>
  <c r="G290" i="7" s="1"/>
  <c r="V240" i="29"/>
  <c r="V158" i="29"/>
  <c r="R282" i="29"/>
  <c r="V114" i="29"/>
  <c r="R283" i="29"/>
  <c r="R198" i="29"/>
  <c r="D508" i="7"/>
  <c r="G508" i="7" s="1"/>
  <c r="D500" i="7"/>
  <c r="G500" i="7" s="1"/>
  <c r="D491" i="7"/>
  <c r="G491" i="7" s="1"/>
  <c r="D507" i="7"/>
  <c r="G507" i="7" s="1"/>
  <c r="D353" i="7"/>
  <c r="G353" i="7" s="1"/>
  <c r="D362" i="7"/>
  <c r="G362" i="7" s="1"/>
  <c r="AB342" i="7"/>
  <c r="D364" i="7"/>
  <c r="G364" i="7" s="1"/>
  <c r="D415" i="7"/>
  <c r="G415" i="7" s="1"/>
  <c r="D428" i="7"/>
  <c r="G428" i="7" s="1"/>
  <c r="D294" i="7"/>
  <c r="G294" i="7" s="1"/>
  <c r="D276" i="7"/>
  <c r="G276" i="7" s="1"/>
  <c r="D286" i="7"/>
  <c r="G286" i="7" s="1"/>
  <c r="D283" i="7"/>
  <c r="G283" i="7" s="1"/>
  <c r="V239" i="29"/>
  <c r="R158" i="29"/>
  <c r="V286" i="29"/>
  <c r="V117" i="29"/>
  <c r="V277" i="29"/>
  <c r="J62" i="7"/>
  <c r="AB62" i="7" s="1"/>
  <c r="D515" i="7"/>
  <c r="G515" i="7" s="1"/>
  <c r="D499" i="7"/>
  <c r="G499" i="7" s="1"/>
  <c r="AB486" i="7"/>
  <c r="D486" i="7"/>
  <c r="D352" i="7"/>
  <c r="G352" i="7" s="1"/>
  <c r="D354" i="7"/>
  <c r="G354" i="7" s="1"/>
  <c r="D370" i="7"/>
  <c r="G370" i="7" s="1"/>
  <c r="D342" i="7"/>
  <c r="S342" i="7" s="1"/>
  <c r="D430" i="7"/>
  <c r="G430" i="7" s="1"/>
  <c r="D414" i="7"/>
  <c r="D296" i="7"/>
  <c r="G296" i="7" s="1"/>
  <c r="D287" i="7"/>
  <c r="G287" i="7" s="1"/>
  <c r="D300" i="7"/>
  <c r="G300" i="7" s="1"/>
  <c r="D289" i="7"/>
  <c r="G289" i="7" s="1"/>
  <c r="R153"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P450" i="7" s="1"/>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S450" i="7"/>
  <c r="K351" i="29"/>
  <c r="K352" i="29" s="1"/>
  <c r="K353" i="29" s="1"/>
  <c r="K354" i="29" s="1"/>
  <c r="K355" i="29" s="1"/>
  <c r="K356" i="29" s="1"/>
  <c r="K357" i="29" s="1"/>
  <c r="K119" i="29"/>
  <c r="K120" i="29" s="1"/>
  <c r="K109" i="29"/>
  <c r="K110" i="29" s="1"/>
  <c r="V49" i="29"/>
  <c r="S501" i="7"/>
  <c r="R501" i="7"/>
  <c r="S511" i="7"/>
  <c r="R511" i="7"/>
  <c r="S358" i="7"/>
  <c r="R358" i="7"/>
  <c r="S367" i="7"/>
  <c r="R367" i="7"/>
  <c r="S372" i="7"/>
  <c r="R372" i="7"/>
  <c r="S323" i="7"/>
  <c r="R323" i="7"/>
  <c r="S331" i="7"/>
  <c r="R331" i="7"/>
  <c r="S439" i="7"/>
  <c r="R439" i="7"/>
  <c r="S513" i="7"/>
  <c r="R513" i="7"/>
  <c r="S500" i="7"/>
  <c r="R500" i="7"/>
  <c r="S495" i="7"/>
  <c r="R495" i="7"/>
  <c r="S491" i="7"/>
  <c r="R491" i="7"/>
  <c r="S509" i="7"/>
  <c r="R509"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S433" i="7"/>
  <c r="R433" i="7"/>
  <c r="S440" i="7"/>
  <c r="R440" i="7"/>
  <c r="S417" i="7"/>
  <c r="R417" i="7"/>
  <c r="S428" i="7"/>
  <c r="R428" i="7"/>
  <c r="S420" i="7"/>
  <c r="R420" i="7"/>
  <c r="S424" i="7"/>
  <c r="R424" i="7"/>
  <c r="S299" i="7"/>
  <c r="R299" i="7"/>
  <c r="S277" i="7"/>
  <c r="R277" i="7"/>
  <c r="R274" i="7"/>
  <c r="S274" i="7"/>
  <c r="S273" i="7"/>
  <c r="R273" i="7"/>
  <c r="S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R345" i="7"/>
  <c r="S318" i="7"/>
  <c r="R318" i="7"/>
  <c r="S326" i="7"/>
  <c r="R326" i="7"/>
  <c r="S334" i="7"/>
  <c r="R334" i="7"/>
  <c r="S320" i="7"/>
  <c r="R320" i="7"/>
  <c r="S476" i="7"/>
  <c r="S416" i="7"/>
  <c r="R298" i="7"/>
  <c r="S298" i="7"/>
  <c r="S289" i="7"/>
  <c r="R289" i="7"/>
  <c r="S403" i="7"/>
  <c r="R403" i="7"/>
  <c r="R392" i="7"/>
  <c r="S392" i="7"/>
  <c r="S504" i="7"/>
  <c r="R504" i="7"/>
  <c r="S515" i="7"/>
  <c r="R515" i="7"/>
  <c r="S490" i="7"/>
  <c r="R490" i="7"/>
  <c r="S499" i="7"/>
  <c r="R499" i="7"/>
  <c r="S506" i="7"/>
  <c r="R506" i="7"/>
  <c r="S488" i="7"/>
  <c r="R488" i="7"/>
  <c r="S363" i="7"/>
  <c r="R363"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S281" i="7"/>
  <c r="R281" i="7"/>
  <c r="S291" i="7"/>
  <c r="R291" i="7"/>
  <c r="S275" i="7"/>
  <c r="R288" i="7"/>
  <c r="S288" i="7"/>
  <c r="R290" i="7"/>
  <c r="S290" i="7"/>
  <c r="S297" i="7"/>
  <c r="R297" i="7"/>
  <c r="R380" i="7"/>
  <c r="S380" i="7"/>
  <c r="R386" i="7"/>
  <c r="S386" i="7"/>
  <c r="R402" i="7"/>
  <c r="S402" i="7"/>
  <c r="S399" i="7"/>
  <c r="R399" i="7"/>
  <c r="R388" i="7"/>
  <c r="S388" i="7"/>
  <c r="R394" i="7"/>
  <c r="S394" i="7"/>
  <c r="R396" i="7"/>
  <c r="S396" i="7"/>
  <c r="S496" i="7"/>
  <c r="R496" i="7"/>
  <c r="S489" i="7"/>
  <c r="R489" i="7"/>
  <c r="S351" i="7"/>
  <c r="R351" i="7"/>
  <c r="S369" i="7"/>
  <c r="R369" i="7"/>
  <c r="R311" i="7"/>
  <c r="S311" i="7"/>
  <c r="S328" i="7"/>
  <c r="R328" i="7"/>
  <c r="R467" i="7"/>
  <c r="S467" i="7"/>
  <c r="S470" i="7"/>
  <c r="R470" i="7"/>
  <c r="S430" i="7"/>
  <c r="R430" i="7"/>
  <c r="S437" i="7"/>
  <c r="R437" i="7"/>
  <c r="S296" i="7"/>
  <c r="S287" i="7"/>
  <c r="R287" i="7"/>
  <c r="S295" i="7"/>
  <c r="R295" i="7"/>
  <c r="R292" i="7"/>
  <c r="S292" i="7"/>
  <c r="R282" i="7"/>
  <c r="S282" i="7"/>
  <c r="R404" i="7"/>
  <c r="R408" i="7"/>
  <c r="S505" i="7"/>
  <c r="R505" i="7"/>
  <c r="S494" i="7"/>
  <c r="R494" i="7"/>
  <c r="S493" i="7"/>
  <c r="S497" i="7"/>
  <c r="R497" i="7"/>
  <c r="S514" i="7"/>
  <c r="R514" i="7"/>
  <c r="S498" i="7"/>
  <c r="R498" i="7"/>
  <c r="S487" i="7"/>
  <c r="R487" i="7"/>
  <c r="S512" i="7"/>
  <c r="R512" i="7"/>
  <c r="S361" i="7"/>
  <c r="R361" i="7"/>
  <c r="S346" i="7"/>
  <c r="R346" i="7"/>
  <c r="S365" i="7"/>
  <c r="R365"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5" i="7"/>
  <c r="S475" i="7"/>
  <c r="R468" i="7"/>
  <c r="S469" i="7"/>
  <c r="S434" i="7"/>
  <c r="R434" i="7"/>
  <c r="S415" i="7"/>
  <c r="S419" i="7"/>
  <c r="R419" i="7"/>
  <c r="S441" i="7"/>
  <c r="R441" i="7"/>
  <c r="S425" i="7"/>
  <c r="R425" i="7"/>
  <c r="R294" i="7"/>
  <c r="S294" i="7"/>
  <c r="S279" i="7"/>
  <c r="R279" i="7"/>
  <c r="R276" i="7"/>
  <c r="R278" i="7"/>
  <c r="S278" i="7"/>
  <c r="R286" i="7"/>
  <c r="S286" i="7"/>
  <c r="S271" i="7"/>
  <c r="R271" i="7"/>
  <c r="S283" i="7"/>
  <c r="R283" i="7"/>
  <c r="S285" i="7"/>
  <c r="R285" i="7"/>
  <c r="R407" i="7"/>
  <c r="R390" i="7"/>
  <c r="S390"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AG508" i="7"/>
  <c r="P508" i="7" s="1"/>
  <c r="H508" i="7"/>
  <c r="M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AB507" i="7"/>
  <c r="AG507" i="7"/>
  <c r="P507" i="7" s="1"/>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L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L272" i="7"/>
  <c r="AB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L293" i="7"/>
  <c r="M293" i="7"/>
  <c r="F293" i="7"/>
  <c r="AG280" i="7"/>
  <c r="P280" i="7" s="1"/>
  <c r="I280" i="7"/>
  <c r="F280" i="7"/>
  <c r="L280" i="7"/>
  <c r="H280" i="7"/>
  <c r="J280" i="7"/>
  <c r="M280" i="7"/>
  <c r="AB280" i="7"/>
  <c r="Q280" i="7"/>
  <c r="J407" i="7"/>
  <c r="F407" i="7"/>
  <c r="I390" i="7"/>
  <c r="AG390" i="7"/>
  <c r="P390" i="7" s="1"/>
  <c r="J390" i="7"/>
  <c r="F390" i="7"/>
  <c r="L390" i="7"/>
  <c r="Q390" i="7"/>
  <c r="H390" i="7"/>
  <c r="M390" i="7"/>
  <c r="AB390" i="7"/>
  <c r="L401" i="7"/>
  <c r="AB401" i="7"/>
  <c r="J401"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AB352" i="7"/>
  <c r="J352" i="7"/>
  <c r="M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J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I284" i="7"/>
  <c r="J284" i="7"/>
  <c r="H284" i="7"/>
  <c r="AG281" i="7"/>
  <c r="P281" i="7" s="1"/>
  <c r="H281" i="7"/>
  <c r="AB281" i="7"/>
  <c r="M281" i="7"/>
  <c r="Q281" i="7"/>
  <c r="F281" i="7"/>
  <c r="J281" i="7"/>
  <c r="L281" i="7"/>
  <c r="I281" i="7"/>
  <c r="Q291" i="7"/>
  <c r="F291" i="7"/>
  <c r="J291" i="7"/>
  <c r="H291" i="7"/>
  <c r="M291" i="7"/>
  <c r="AG291" i="7"/>
  <c r="P291" i="7" s="1"/>
  <c r="L291" i="7"/>
  <c r="I291" i="7"/>
  <c r="AB291" i="7"/>
  <c r="F275" i="7"/>
  <c r="I275" i="7"/>
  <c r="L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H379" i="7"/>
  <c r="M379" i="7"/>
  <c r="AG392" i="7"/>
  <c r="P392" i="7" s="1"/>
  <c r="M392" i="7"/>
  <c r="I392" i="7"/>
  <c r="AB392" i="7"/>
  <c r="F392" i="7"/>
  <c r="H392" i="7"/>
  <c r="L392" i="7"/>
  <c r="J392" i="7"/>
  <c r="Q392" i="7"/>
  <c r="I397" i="7"/>
  <c r="J397" i="7"/>
  <c r="Q397" i="7"/>
  <c r="AB408" i="7"/>
  <c r="AG494" i="7"/>
  <c r="P494" i="7" s="1"/>
  <c r="I494" i="7"/>
  <c r="J494" i="7"/>
  <c r="Q494" i="7"/>
  <c r="H494" i="7"/>
  <c r="F494" i="7"/>
  <c r="AB494" i="7"/>
  <c r="L494" i="7"/>
  <c r="M494" i="7"/>
  <c r="H493" i="7"/>
  <c r="F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J503" i="7"/>
  <c r="L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J359" i="7"/>
  <c r="F359" i="7"/>
  <c r="AB359" i="7"/>
  <c r="L359" i="7"/>
  <c r="I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L450" i="7"/>
  <c r="I450"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F415" i="7"/>
  <c r="AG415" i="7"/>
  <c r="P415" i="7" s="1"/>
  <c r="L415" i="7"/>
  <c r="H415" i="7"/>
  <c r="J415" i="7"/>
  <c r="AB415" i="7"/>
  <c r="F419" i="7"/>
  <c r="H419" i="7"/>
  <c r="J419" i="7"/>
  <c r="Q419" i="7"/>
  <c r="M419" i="7"/>
  <c r="I419" i="7"/>
  <c r="AG419" i="7"/>
  <c r="P419" i="7" s="1"/>
  <c r="L419" i="7"/>
  <c r="AB419" i="7"/>
  <c r="J429" i="7"/>
  <c r="M429" i="7"/>
  <c r="I429" i="7"/>
  <c r="F427" i="7"/>
  <c r="AB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F276" i="7"/>
  <c r="Q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Q510" i="7"/>
  <c r="AG510" i="7"/>
  <c r="P510" i="7" s="1"/>
  <c r="H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I345" i="7"/>
  <c r="H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F464" i="7"/>
  <c r="I464" i="7"/>
  <c r="H464" i="7"/>
  <c r="J457"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J416" i="7"/>
  <c r="M416" i="7"/>
  <c r="L416" i="7"/>
  <c r="F437" i="7"/>
  <c r="AB437" i="7"/>
  <c r="M437" i="7"/>
  <c r="I437" i="7"/>
  <c r="L437" i="7"/>
  <c r="Q437" i="7"/>
  <c r="H437" i="7"/>
  <c r="J437" i="7"/>
  <c r="AG437" i="7"/>
  <c r="P437" i="7" s="1"/>
  <c r="J421" i="7"/>
  <c r="AG421" i="7"/>
  <c r="P421" i="7" s="1"/>
  <c r="L421" i="7"/>
  <c r="M442" i="7"/>
  <c r="F442" i="7"/>
  <c r="L444" i="7"/>
  <c r="Q444" i="7"/>
  <c r="H296" i="7"/>
  <c r="M296" i="7"/>
  <c r="AB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V235" i="26" s="1"/>
  <c r="S253" i="26"/>
  <c r="T219" i="26"/>
  <c r="X234" i="26"/>
  <c r="V234" i="26" s="1"/>
  <c r="T233" i="26"/>
  <c r="R228" i="26"/>
  <c r="V228" i="26"/>
  <c r="R229" i="26"/>
  <c r="R230" i="26"/>
  <c r="R231" i="26"/>
  <c r="R232" i="26"/>
  <c r="R233"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V488" i="26" s="1"/>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V295" i="26" s="1"/>
  <c r="T318" i="26"/>
  <c r="R293" i="26"/>
  <c r="S314" i="26"/>
  <c r="T326" i="26"/>
  <c r="R318" i="26"/>
  <c r="R284" i="26"/>
  <c r="T314" i="26"/>
  <c r="T300" i="26"/>
  <c r="T298" i="26"/>
  <c r="R314" i="26"/>
  <c r="X271" i="26"/>
  <c r="R327" i="26"/>
  <c r="T299" i="26"/>
  <c r="R287" i="26"/>
  <c r="X294" i="26"/>
  <c r="V294" i="26" s="1"/>
  <c r="X292" i="26"/>
  <c r="V292" i="26" s="1"/>
  <c r="T297" i="26"/>
  <c r="L284" i="26"/>
  <c r="L288" i="26" s="1"/>
  <c r="R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AG493" i="7" l="1"/>
  <c r="P493" i="7" s="1"/>
  <c r="F341" i="7"/>
  <c r="AG432" i="7"/>
  <c r="P432" i="7" s="1"/>
  <c r="H507" i="7"/>
  <c r="R503" i="7"/>
  <c r="S510" i="7"/>
  <c r="S485" i="7" s="1"/>
  <c r="R284" i="7"/>
  <c r="R421" i="7"/>
  <c r="R272" i="7"/>
  <c r="AG276" i="7"/>
  <c r="P276" i="7" s="1"/>
  <c r="L397" i="7"/>
  <c r="M401" i="7"/>
  <c r="AG272" i="7"/>
  <c r="P272" i="7" s="1"/>
  <c r="I296" i="7"/>
  <c r="I269" i="7" s="1"/>
  <c r="AB421" i="7"/>
  <c r="Q421" i="7"/>
  <c r="J464" i="7"/>
  <c r="L345" i="7"/>
  <c r="M510" i="7"/>
  <c r="AB276" i="7"/>
  <c r="F429" i="7"/>
  <c r="I415" i="7"/>
  <c r="K415" i="7" s="1"/>
  <c r="Q415" i="7"/>
  <c r="F449" i="7"/>
  <c r="AG359" i="7"/>
  <c r="P359" i="7" s="1"/>
  <c r="H503" i="7"/>
  <c r="I493" i="7"/>
  <c r="AG408" i="7"/>
  <c r="P408" i="7" s="1"/>
  <c r="AG397" i="7"/>
  <c r="P397" i="7" s="1"/>
  <c r="J275" i="7"/>
  <c r="K275" i="7" s="1"/>
  <c r="AG284" i="7"/>
  <c r="P284" i="7" s="1"/>
  <c r="P342" i="7"/>
  <c r="AG352" i="7"/>
  <c r="P352" i="7" s="1"/>
  <c r="J384" i="7"/>
  <c r="Q401" i="7"/>
  <c r="Q293" i="7"/>
  <c r="J272" i="7"/>
  <c r="F272" i="7"/>
  <c r="H432" i="7"/>
  <c r="L507" i="7"/>
  <c r="F508" i="7"/>
  <c r="L508" i="7"/>
  <c r="S276" i="7"/>
  <c r="S359" i="7"/>
  <c r="S503" i="7"/>
  <c r="R275" i="7"/>
  <c r="R269" i="7" s="1"/>
  <c r="S421" i="7"/>
  <c r="R293" i="7"/>
  <c r="R432" i="7"/>
  <c r="Q296" i="7"/>
  <c r="F296" i="7"/>
  <c r="I421" i="7"/>
  <c r="AB464" i="7"/>
  <c r="M345" i="7"/>
  <c r="M341" i="7" s="1"/>
  <c r="L510" i="7"/>
  <c r="H276" i="7"/>
  <c r="AB429" i="7"/>
  <c r="M450" i="7"/>
  <c r="Q503" i="7"/>
  <c r="AB493" i="7"/>
  <c r="F397" i="7"/>
  <c r="Q275" i="7"/>
  <c r="M284" i="7"/>
  <c r="N431" i="7"/>
  <c r="I342" i="7"/>
  <c r="I352" i="7"/>
  <c r="AG401" i="7"/>
  <c r="P401" i="7" s="1"/>
  <c r="J293" i="7"/>
  <c r="Q272" i="7"/>
  <c r="F432" i="7"/>
  <c r="F507" i="7"/>
  <c r="M507" i="7"/>
  <c r="I508" i="7"/>
  <c r="S401" i="7"/>
  <c r="R429" i="7"/>
  <c r="R397" i="7"/>
  <c r="R352" i="7"/>
  <c r="R508" i="7"/>
  <c r="R485" i="7" s="1"/>
  <c r="S300" i="7"/>
  <c r="R507" i="7"/>
  <c r="R355" i="7"/>
  <c r="J296" i="7"/>
  <c r="AG444" i="7"/>
  <c r="P444" i="7" s="1"/>
  <c r="H421" i="7"/>
  <c r="Q460" i="7"/>
  <c r="Q464" i="7"/>
  <c r="J345" i="7"/>
  <c r="AB355" i="7"/>
  <c r="F510" i="7"/>
  <c r="AB510" i="7"/>
  <c r="L276" i="7"/>
  <c r="F435" i="7"/>
  <c r="H429" i="7"/>
  <c r="M415" i="7"/>
  <c r="M413" i="7" s="1"/>
  <c r="J450" i="7"/>
  <c r="Q359" i="7"/>
  <c r="H359" i="7"/>
  <c r="I503" i="7"/>
  <c r="Q493" i="7"/>
  <c r="M397" i="7"/>
  <c r="AG275" i="7"/>
  <c r="P275" i="7" s="1"/>
  <c r="AB284" i="7"/>
  <c r="M342" i="7"/>
  <c r="Q352" i="7"/>
  <c r="F401" i="7"/>
  <c r="H293" i="7"/>
  <c r="M272" i="7"/>
  <c r="Q432" i="7"/>
  <c r="J507" i="7"/>
  <c r="J508" i="7"/>
  <c r="J485" i="7" s="1"/>
  <c r="S429" i="7"/>
  <c r="R493" i="7"/>
  <c r="S352" i="7"/>
  <c r="S508" i="7"/>
  <c r="R300" i="7"/>
  <c r="S460" i="7"/>
  <c r="S507" i="7"/>
  <c r="S355" i="7"/>
  <c r="AG296" i="7"/>
  <c r="P296" i="7" s="1"/>
  <c r="F421" i="7"/>
  <c r="AG438" i="7"/>
  <c r="P438" i="7" s="1"/>
  <c r="AG464" i="7"/>
  <c r="P464" i="7" s="1"/>
  <c r="L464" i="7"/>
  <c r="F345" i="7"/>
  <c r="I510" i="7"/>
  <c r="M276" i="7"/>
  <c r="M269" i="7" s="1"/>
  <c r="AG429" i="7"/>
  <c r="P429" i="7" s="1"/>
  <c r="F450" i="7"/>
  <c r="M359" i="7"/>
  <c r="F503" i="7"/>
  <c r="J493" i="7"/>
  <c r="L493" i="7"/>
  <c r="H397" i="7"/>
  <c r="J378" i="7"/>
  <c r="K378" i="7" s="1"/>
  <c r="AB275" i="7"/>
  <c r="F284" i="7"/>
  <c r="L342" i="7"/>
  <c r="L352" i="7"/>
  <c r="I401" i="7"/>
  <c r="I293" i="7"/>
  <c r="H272" i="7"/>
  <c r="I432" i="7"/>
  <c r="K432" i="7" s="1"/>
  <c r="I507" i="7"/>
  <c r="AB508" i="7"/>
  <c r="R296" i="7"/>
  <c r="S345" i="7"/>
  <c r="R450" i="7"/>
  <c r="R342" i="7"/>
  <c r="L296" i="7"/>
  <c r="M421" i="7"/>
  <c r="N421" i="7" s="1"/>
  <c r="M464" i="7"/>
  <c r="AB345" i="7"/>
  <c r="J510" i="7"/>
  <c r="J276" i="7"/>
  <c r="I276" i="7"/>
  <c r="Q429" i="7"/>
  <c r="L429" i="7"/>
  <c r="AB503" i="7"/>
  <c r="M493" i="7"/>
  <c r="AB397" i="7"/>
  <c r="L378" i="7"/>
  <c r="H275" i="7"/>
  <c r="Q284" i="7"/>
  <c r="F342" i="7"/>
  <c r="H352" i="7"/>
  <c r="F352" i="7"/>
  <c r="H401" i="7"/>
  <c r="AB293" i="7"/>
  <c r="AG293" i="7"/>
  <c r="P293" i="7" s="1"/>
  <c r="I272" i="7"/>
  <c r="M432" i="7"/>
  <c r="Q507" i="7"/>
  <c r="Q508" i="7"/>
  <c r="R415" i="7"/>
  <c r="R413" i="7" s="1"/>
  <c r="R471" i="7"/>
  <c r="R510" i="7"/>
  <c r="S284" i="7"/>
  <c r="S444" i="7"/>
  <c r="S272"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449" i="7" s="1"/>
  <c r="R378" i="7"/>
  <c r="AB442" i="7"/>
  <c r="Q438" i="7"/>
  <c r="I457" i="7"/>
  <c r="F477" i="7"/>
  <c r="M405" i="7"/>
  <c r="M444" i="7"/>
  <c r="J444" i="7"/>
  <c r="K444" i="7" s="1"/>
  <c r="H416" i="7"/>
  <c r="F416" i="7"/>
  <c r="I460" i="7"/>
  <c r="J460" i="7"/>
  <c r="H451" i="7"/>
  <c r="L451" i="7"/>
  <c r="F451" i="7"/>
  <c r="J435" i="7"/>
  <c r="J413" i="7" s="1"/>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N460" i="7" s="1"/>
  <c r="AG451" i="7"/>
  <c r="P451" i="7" s="1"/>
  <c r="J451" i="7"/>
  <c r="AG435" i="7"/>
  <c r="P435" i="7" s="1"/>
  <c r="H435" i="7"/>
  <c r="I469" i="7"/>
  <c r="Q469" i="7"/>
  <c r="L469" i="7"/>
  <c r="AB471" i="7"/>
  <c r="M471" i="7"/>
  <c r="AG471" i="7"/>
  <c r="P471" i="7" s="1"/>
  <c r="Q408" i="7"/>
  <c r="L408" i="7"/>
  <c r="AB379" i="7"/>
  <c r="AG379" i="7"/>
  <c r="P379" i="7" s="1"/>
  <c r="AB384" i="7"/>
  <c r="L384" i="7"/>
  <c r="N384" i="7" s="1"/>
  <c r="H407" i="7"/>
  <c r="M407" i="7"/>
  <c r="S384" i="7"/>
  <c r="R435" i="7"/>
  <c r="S379" i="7"/>
  <c r="R451" i="7"/>
  <c r="H444" i="7"/>
  <c r="AB444" i="7"/>
  <c r="AB416" i="7"/>
  <c r="I416" i="7"/>
  <c r="H460" i="7"/>
  <c r="AB460" i="7"/>
  <c r="Q451" i="7"/>
  <c r="AB451" i="7"/>
  <c r="I435" i="7"/>
  <c r="L435" i="7"/>
  <c r="N435" i="7" s="1"/>
  <c r="M435" i="7"/>
  <c r="H469" i="7"/>
  <c r="AG469" i="7"/>
  <c r="P469" i="7" s="1"/>
  <c r="H471" i="7"/>
  <c r="Q471" i="7"/>
  <c r="I408" i="7"/>
  <c r="F408" i="7"/>
  <c r="H408" i="7"/>
  <c r="L379" i="7"/>
  <c r="Q379" i="7"/>
  <c r="I379" i="7"/>
  <c r="H384" i="7"/>
  <c r="I384" i="7"/>
  <c r="F384" i="7"/>
  <c r="I407" i="7"/>
  <c r="L407" i="7"/>
  <c r="N407" i="7" s="1"/>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I377" i="7" s="1"/>
  <c r="R381" i="7"/>
  <c r="S463" i="7"/>
  <c r="Q442" i="7"/>
  <c r="L442" i="7"/>
  <c r="J438" i="7"/>
  <c r="F438" i="7"/>
  <c r="L457" i="7"/>
  <c r="AG457" i="7"/>
  <c r="P457" i="7" s="1"/>
  <c r="P449" i="7" s="1"/>
  <c r="J477" i="7"/>
  <c r="L477" i="7"/>
  <c r="J427" i="7"/>
  <c r="H427" i="7"/>
  <c r="AG458" i="7"/>
  <c r="P458" i="7" s="1"/>
  <c r="H458" i="7"/>
  <c r="H463" i="7"/>
  <c r="M463" i="7"/>
  <c r="N463" i="7" s="1"/>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H442" i="7"/>
  <c r="H438" i="7"/>
  <c r="I438" i="7"/>
  <c r="H457" i="7"/>
  <c r="M457" i="7"/>
  <c r="H477" i="7"/>
  <c r="I477" i="7"/>
  <c r="AB427" i="7"/>
  <c r="I427" i="7"/>
  <c r="AB458" i="7"/>
  <c r="M458" i="7"/>
  <c r="AG463" i="7"/>
  <c r="P463" i="7" s="1"/>
  <c r="Q463" i="7"/>
  <c r="Q405" i="7"/>
  <c r="J405" i="7"/>
  <c r="AG405" i="7"/>
  <c r="P405" i="7" s="1"/>
  <c r="AG381" i="7"/>
  <c r="P381" i="7" s="1"/>
  <c r="P377" i="7" s="1"/>
  <c r="AB381" i="7"/>
  <c r="L381" i="7"/>
  <c r="AB398" i="7"/>
  <c r="M398" i="7"/>
  <c r="F398" i="7"/>
  <c r="S405" i="7"/>
  <c r="V497" i="26"/>
  <c r="N479" i="7"/>
  <c r="K465" i="7"/>
  <c r="N452" i="7"/>
  <c r="K348" i="7"/>
  <c r="N454" i="7"/>
  <c r="N295" i="7"/>
  <c r="N438" i="7"/>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N334" i="7"/>
  <c r="N349" i="7"/>
  <c r="R341" i="7"/>
  <c r="S269" i="7"/>
  <c r="S341" i="7"/>
  <c r="S305" i="7"/>
  <c r="R305"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299" i="7"/>
  <c r="K426" i="7"/>
  <c r="N455" i="7"/>
  <c r="N364" i="7"/>
  <c r="K347" i="7"/>
  <c r="K394" i="7"/>
  <c r="K386" i="7"/>
  <c r="N289" i="7"/>
  <c r="N287" i="7"/>
  <c r="N298" i="7"/>
  <c r="K464" i="7"/>
  <c r="K451" i="7"/>
  <c r="K477" i="7"/>
  <c r="K372" i="7"/>
  <c r="K395" i="7"/>
  <c r="K434" i="7"/>
  <c r="K463" i="7"/>
  <c r="K366" i="7"/>
  <c r="N346" i="7"/>
  <c r="K281" i="7"/>
  <c r="N418" i="7"/>
  <c r="K381" i="7"/>
  <c r="K273" i="7"/>
  <c r="N274" i="7"/>
  <c r="N277" i="7"/>
  <c r="K474" i="7"/>
  <c r="N315" i="7"/>
  <c r="N491" i="7"/>
  <c r="N292" i="7"/>
  <c r="N369" i="7"/>
  <c r="N367" i="7"/>
  <c r="K360" i="7"/>
  <c r="N510" i="7"/>
  <c r="N406" i="7"/>
  <c r="K387" i="7"/>
  <c r="K389" i="7"/>
  <c r="K393" i="7"/>
  <c r="N283" i="7"/>
  <c r="K429" i="7"/>
  <c r="N429"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K433" i="7"/>
  <c r="N310" i="7"/>
  <c r="K364" i="7"/>
  <c r="K509" i="7"/>
  <c r="N495" i="7"/>
  <c r="N508" i="7"/>
  <c r="N296" i="7"/>
  <c r="K437" i="7"/>
  <c r="N430" i="7"/>
  <c r="N476" i="7"/>
  <c r="N470" i="7"/>
  <c r="N457" i="7"/>
  <c r="N467" i="7"/>
  <c r="K467" i="7"/>
  <c r="N451" i="7"/>
  <c r="N320" i="7"/>
  <c r="K334" i="7"/>
  <c r="N323" i="7"/>
  <c r="N311" i="7"/>
  <c r="K318" i="7"/>
  <c r="N351" i="7"/>
  <c r="K502" i="7"/>
  <c r="N385" i="7"/>
  <c r="K400" i="7"/>
  <c r="N393" i="7"/>
  <c r="N285" i="7"/>
  <c r="K285" i="7"/>
  <c r="N286" i="7"/>
  <c r="K278" i="7"/>
  <c r="K441" i="7"/>
  <c r="K419" i="7"/>
  <c r="N434" i="7"/>
  <c r="K458" i="7"/>
  <c r="K468" i="7"/>
  <c r="N475" i="7"/>
  <c r="K475" i="7"/>
  <c r="N471" i="7"/>
  <c r="K321" i="7"/>
  <c r="N312" i="7"/>
  <c r="K312" i="7"/>
  <c r="N322" i="7"/>
  <c r="N313" i="7"/>
  <c r="N359" i="7"/>
  <c r="N512" i="7"/>
  <c r="N497" i="7"/>
  <c r="K408" i="7"/>
  <c r="N408" i="7"/>
  <c r="K392" i="7"/>
  <c r="M377" i="7"/>
  <c r="N290" i="7"/>
  <c r="K291" i="7"/>
  <c r="N414"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N288" i="7"/>
  <c r="N291" i="7"/>
  <c r="I413" i="7"/>
  <c r="K414" i="7"/>
  <c r="N423" i="7"/>
  <c r="N461" i="7"/>
  <c r="K480" i="7"/>
  <c r="K309" i="7"/>
  <c r="P305" i="7"/>
  <c r="I341" i="7"/>
  <c r="K342" i="7"/>
  <c r="N486" i="7"/>
  <c r="L485" i="7"/>
  <c r="K499" i="7"/>
  <c r="K490" i="7"/>
  <c r="K398" i="7"/>
  <c r="K272" i="7"/>
  <c r="K420" i="7"/>
  <c r="K417" i="7"/>
  <c r="N432" i="7"/>
  <c r="K479" i="7"/>
  <c r="N474" i="7"/>
  <c r="N333" i="7"/>
  <c r="N308" i="7"/>
  <c r="N314" i="7"/>
  <c r="N316" i="7"/>
  <c r="N347" i="7"/>
  <c r="N500" i="7"/>
  <c r="N513" i="7"/>
  <c r="N271" i="7"/>
  <c r="N450" i="7"/>
  <c r="N361" i="7"/>
  <c r="N378" i="7"/>
  <c r="K403" i="7"/>
  <c r="N422" i="7"/>
  <c r="M485" i="7"/>
  <c r="N391" i="7"/>
  <c r="K293" i="7"/>
  <c r="K270"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345" i="7" l="1"/>
  <c r="J269" i="7"/>
  <c r="L413" i="7"/>
  <c r="N415" i="7"/>
  <c r="K405" i="7"/>
  <c r="K508" i="7"/>
  <c r="K485" i="7" s="1"/>
  <c r="K435" i="7"/>
  <c r="K296"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49" i="7"/>
  <c r="N413" i="7"/>
  <c r="K305" i="7"/>
  <c r="N377"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N449" i="7" l="1"/>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V187" i="26" l="1"/>
  <c r="Q116" i="28"/>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K264" i="7" l="1"/>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5" i="3"/>
  <c r="F86" i="3"/>
  <c r="Q97" i="3"/>
  <c r="Q80" i="3"/>
  <c r="Q88" i="3"/>
  <c r="F80" i="3"/>
  <c r="Q84" i="3"/>
  <c r="Q87" i="3"/>
  <c r="Q92" i="3"/>
  <c r="F97" i="3"/>
  <c r="F81" i="3"/>
  <c r="Q82" i="3"/>
  <c r="F84" i="3"/>
  <c r="F83" i="3"/>
  <c r="Q90" i="3"/>
  <c r="F82" i="3"/>
  <c r="Q86" i="3"/>
  <c r="F88" i="3"/>
  <c r="F87" i="3"/>
  <c r="Q91" i="3"/>
  <c r="Q83" i="3"/>
  <c r="F94" i="3"/>
  <c r="F85" i="3"/>
  <c r="F93" i="3"/>
  <c r="Q89" i="3"/>
  <c r="F89" i="3"/>
  <c r="Q81" i="3"/>
  <c r="F95" i="3"/>
  <c r="Q94" i="3"/>
  <c r="F91" i="3"/>
  <c r="Q95" i="3"/>
  <c r="Q93" i="3"/>
  <c r="F92" i="3"/>
  <c r="F90"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F168" i="7" s="1"/>
  <c r="K226" i="7"/>
  <c r="P226" i="7"/>
  <c r="N226" i="7"/>
  <c r="D191" i="7"/>
  <c r="G191" i="7" s="1"/>
  <c r="D180" i="7"/>
  <c r="G180" i="7" s="1"/>
  <c r="D178" i="7"/>
  <c r="G178" i="7" s="1"/>
  <c r="D172" i="7"/>
  <c r="G172" i="7" s="1"/>
  <c r="D186" i="7"/>
  <c r="L186" i="7" s="1"/>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H191" i="7"/>
  <c r="AB168" i="7"/>
  <c r="AG168" i="7"/>
  <c r="O168" i="7" s="1"/>
  <c r="J177" i="7"/>
  <c r="I178" i="7"/>
  <c r="AE191" i="7"/>
  <c r="Q191" i="7"/>
  <c r="I191" i="7"/>
  <c r="J191" i="7"/>
  <c r="AB183" i="7"/>
  <c r="I215" i="28"/>
  <c r="J215" i="28"/>
  <c r="I216" i="28"/>
  <c r="J214" i="28"/>
  <c r="J216" i="28"/>
  <c r="AE186" i="7" l="1"/>
  <c r="M168" i="7"/>
  <c r="F186" i="7"/>
  <c r="I186" i="7"/>
  <c r="J168" i="7"/>
  <c r="H178" i="7"/>
  <c r="K225" i="7"/>
  <c r="K207" i="7"/>
  <c r="K201" i="7"/>
  <c r="AB188" i="7"/>
  <c r="G188" i="7"/>
  <c r="F169" i="7"/>
  <c r="G169" i="7"/>
  <c r="M186" i="7"/>
  <c r="N186" i="7" s="1"/>
  <c r="G186" i="7"/>
  <c r="L168" i="7"/>
  <c r="N168" i="7" s="1"/>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K10" i="28"/>
  <c r="AZ10" i="28" s="1"/>
  <c r="AG163" i="7"/>
  <c r="K171" i="7" l="1"/>
  <c r="N187" i="7"/>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K124" i="3"/>
  <c r="E124" i="3"/>
  <c r="R124" i="3"/>
  <c r="C124" i="3"/>
  <c r="N124" i="3"/>
  <c r="D124" i="3"/>
  <c r="S124" i="3"/>
  <c r="P124" i="3"/>
  <c r="H124" i="3"/>
  <c r="F124" i="3"/>
  <c r="Q124" i="3"/>
  <c r="B124" i="3"/>
  <c r="O124" i="3"/>
  <c r="I124" i="3"/>
  <c r="J124" i="3"/>
  <c r="M124" i="3"/>
  <c r="L124" i="3"/>
  <c r="G124" i="3"/>
  <c r="BD14" i="28" l="1"/>
  <c r="S162" i="7"/>
  <c r="R162" i="7"/>
  <c r="BD12" i="28"/>
  <c r="BD11" i="28"/>
  <c r="BD10" i="28"/>
  <c r="S161" i="7" l="1"/>
  <c r="R161" i="7"/>
  <c r="S17" i="31"/>
  <c r="D10" i="9"/>
  <c r="E632" i="26"/>
  <c r="E502" i="26"/>
  <c r="E143" i="26"/>
  <c r="E598" i="26"/>
  <c r="E177" i="26"/>
  <c r="E468" i="26"/>
  <c r="E13" i="26"/>
  <c r="D6" i="28"/>
  <c r="E242" i="26"/>
  <c r="E273" i="26"/>
  <c r="E533" i="26"/>
  <c r="E403" i="26"/>
  <c r="E372" i="26"/>
  <c r="E208" i="26"/>
  <c r="E47" i="26"/>
  <c r="E437" i="26"/>
  <c r="E112" i="26"/>
  <c r="E307" i="26"/>
  <c r="E78" i="26"/>
  <c r="E338" i="26"/>
  <c r="E56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<sst xmlns="http://schemas.openxmlformats.org/spreadsheetml/2006/main" count="7400" uniqueCount="4191">
  <si>
    <t>ausblenden</t>
  </si>
  <si>
    <t>Print area:</t>
  </si>
  <si>
    <t>Name of this sheet</t>
  </si>
  <si>
    <t>0.1</t>
  </si>
  <si>
    <t>first preliminary published version</t>
  </si>
  <si>
    <t>1.0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</si>
  <si>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</si>
  <si>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PRINT</t>
  </si>
  <si>
    <t>0.</t>
  </si>
  <si>
    <t>a.</t>
  </si>
  <si>
    <t>b.</t>
  </si>
  <si>
    <t>c.</t>
  </si>
  <si>
    <t>A.</t>
  </si>
  <si>
    <t>B.</t>
  </si>
  <si>
    <t>C.</t>
  </si>
  <si>
    <t>D.</t>
  </si>
  <si>
    <t>E.</t>
  </si>
  <si>
    <t>F.</t>
  </si>
  <si>
    <t>G.</t>
  </si>
  <si>
    <t>Marker</t>
  </si>
  <si>
    <t>EmbedEm</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</si>
  <si>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</si>
  <si>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</si>
  <si>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</si>
  <si>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</si>
  <si>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</si>
  <si>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</si>
  <si>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</si>
  <si>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</si>
  <si>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</si>
  <si>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</si>
  <si>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</si>
  <si>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</si>
  <si>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</si>
  <si>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</si>
  <si>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</si>
  <si>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</si>
  <si>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</si>
  <si>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</si>
  <si>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</si>
  <si>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</si>
  <si>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</si>
  <si>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</si>
  <si>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</si>
  <si>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</si>
  <si>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</si>
  <si>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</si>
  <si>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</si>
  <si>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</si>
  <si>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</si>
  <si>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</si>
  <si>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Austria</t>
  </si>
  <si>
    <t>BDT</t>
  </si>
  <si>
    <t>AU</t>
  </si>
  <si>
    <t>BGN</t>
  </si>
  <si>
    <t>AW</t>
  </si>
  <si>
    <t>BHD</t>
  </si>
  <si>
    <t>AX</t>
  </si>
  <si>
    <t>BIF</t>
  </si>
  <si>
    <t>AZ</t>
  </si>
  <si>
    <t>BMD</t>
  </si>
  <si>
    <t>BA</t>
  </si>
  <si>
    <t>BND</t>
  </si>
  <si>
    <t>BB</t>
  </si>
  <si>
    <t>BOB</t>
  </si>
  <si>
    <t>BD</t>
  </si>
  <si>
    <t>BOV</t>
  </si>
  <si>
    <t>BE</t>
  </si>
  <si>
    <t>Belgium</t>
  </si>
  <si>
    <t>BRL</t>
  </si>
  <si>
    <t>BF</t>
  </si>
  <si>
    <t>BSD</t>
  </si>
  <si>
    <t>BG</t>
  </si>
  <si>
    <t>Bulgaria</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</si>
  <si>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</si>
  <si>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</si>
  <si>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</si>
  <si>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</si>
  <si>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</si>
  <si>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</si>
  <si>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</si>
  <si>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</si>
  <si>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</si>
  <si>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</si>
  <si>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</si>
  <si>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</si>
  <si>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</si>
  <si>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</si>
  <si>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</si>
  <si>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</si>
  <si>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</si>
  <si>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</si>
  <si>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</si>
  <si>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</si>
  <si>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</si>
  <si>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</si>
  <si>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</si>
  <si>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</si>
  <si>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</si>
  <si>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</si>
  <si>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</si>
  <si>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</si>
  <si>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</si>
  <si>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</si>
  <si>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</si>
  <si>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</si>
  <si>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</si>
  <si>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</si>
  <si>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</si>
  <si>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</si>
  <si>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</si>
  <si>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</si>
  <si>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</si>
  <si>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</si>
  <si>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</si>
  <si>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</si>
  <si>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</si>
  <si>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</si>
  <si>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</si>
  <si>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</si>
  <si>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</si>
  <si>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</si>
  <si>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</si>
  <si>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</si>
  <si>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</si>
  <si>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</si>
  <si>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</si>
  <si>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</si>
  <si>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</si>
  <si>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</si>
  <si>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</si>
  <si>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CU</t>
  </si>
  <si>
    <t>GBP</t>
  </si>
  <si>
    <t>CV</t>
  </si>
  <si>
    <t>GEL</t>
  </si>
  <si>
    <t>CW</t>
  </si>
  <si>
    <t>GHS</t>
  </si>
  <si>
    <t>CX</t>
  </si>
  <si>
    <t>GIP</t>
  </si>
  <si>
    <t>CY</t>
  </si>
  <si>
    <t>Cyprus</t>
  </si>
  <si>
    <t>GMD</t>
  </si>
  <si>
    <t>CZ</t>
  </si>
  <si>
    <t>GNF</t>
  </si>
  <si>
    <t>DE</t>
  </si>
  <si>
    <t>Germany</t>
  </si>
  <si>
    <t>GTQ</t>
  </si>
  <si>
    <t>DJ</t>
  </si>
  <si>
    <t>GYD</t>
  </si>
  <si>
    <t>DK</t>
  </si>
  <si>
    <t>Denmark</t>
  </si>
  <si>
    <t>HKD</t>
  </si>
  <si>
    <t>DM</t>
  </si>
  <si>
    <t>HNL</t>
  </si>
  <si>
    <t>DO</t>
  </si>
  <si>
    <t>HTG</t>
  </si>
  <si>
    <t>DZ</t>
  </si>
  <si>
    <t>HUF</t>
  </si>
  <si>
    <t>EC</t>
  </si>
  <si>
    <t>IDR</t>
  </si>
  <si>
    <t>EE</t>
  </si>
  <si>
    <t>Estonia</t>
  </si>
  <si>
    <t>ILS</t>
  </si>
  <si>
    <t>EG</t>
  </si>
  <si>
    <t>INR</t>
  </si>
  <si>
    <t>EH</t>
  </si>
  <si>
    <t>IQD</t>
  </si>
  <si>
    <t>ER</t>
  </si>
  <si>
    <t>IRR</t>
  </si>
  <si>
    <t>ES</t>
  </si>
  <si>
    <t>Spain</t>
  </si>
  <si>
    <t>ISK</t>
  </si>
  <si>
    <t>ET</t>
  </si>
  <si>
    <t>JMD</t>
  </si>
  <si>
    <t>EU</t>
  </si>
  <si>
    <t>JOD</t>
  </si>
  <si>
    <t>FI</t>
  </si>
  <si>
    <t>Finland</t>
  </si>
  <si>
    <t>JPY</t>
  </si>
  <si>
    <t>FJ</t>
  </si>
  <si>
    <t>KES</t>
  </si>
  <si>
    <t>FK</t>
  </si>
  <si>
    <t>KGS</t>
  </si>
  <si>
    <t>FM</t>
  </si>
  <si>
    <t>KHR</t>
  </si>
  <si>
    <t>FO</t>
  </si>
  <si>
    <t>KMF</t>
  </si>
  <si>
    <t>FR</t>
  </si>
  <si>
    <t>France</t>
  </si>
  <si>
    <t>KPW</t>
  </si>
  <si>
    <t>GA</t>
  </si>
  <si>
    <t>KRW</t>
  </si>
  <si>
    <t>GB</t>
  </si>
  <si>
    <t>United Kingdom</t>
  </si>
  <si>
    <t>KWD</t>
  </si>
  <si>
    <t>GD</t>
  </si>
  <si>
    <t>KYD</t>
  </si>
  <si>
    <t>GE</t>
  </si>
  <si>
    <t>KZT</t>
  </si>
  <si>
    <t>GF</t>
  </si>
  <si>
    <t>LAK</t>
  </si>
  <si>
    <t>GG</t>
  </si>
  <si>
    <t>LBP</t>
  </si>
  <si>
    <t>GH</t>
  </si>
  <si>
    <t>LKR</t>
  </si>
  <si>
    <t>GI</t>
  </si>
  <si>
    <t>LRD</t>
  </si>
  <si>
    <t>GL</t>
  </si>
  <si>
    <t>LSL</t>
  </si>
  <si>
    <t>GM</t>
  </si>
  <si>
    <t>LYD</t>
  </si>
  <si>
    <t>GN</t>
  </si>
  <si>
    <t>MAD</t>
  </si>
  <si>
    <t>GP</t>
  </si>
  <si>
    <t>MDL</t>
  </si>
  <si>
    <t>GQ</t>
  </si>
  <si>
    <t>MGA</t>
  </si>
  <si>
    <t>GR</t>
  </si>
  <si>
    <t>Greece</t>
  </si>
  <si>
    <t>MKD</t>
  </si>
  <si>
    <t>GS</t>
  </si>
  <si>
    <t>MMK</t>
  </si>
  <si>
    <t>GT</t>
  </si>
  <si>
    <t>MNT</t>
  </si>
  <si>
    <t>GU</t>
  </si>
  <si>
    <t>MOP</t>
  </si>
  <si>
    <t>GW</t>
  </si>
  <si>
    <t>MRU</t>
  </si>
  <si>
    <t>GY</t>
  </si>
  <si>
    <t>MUR</t>
  </si>
  <si>
    <t>HK</t>
  </si>
  <si>
    <t>MVR</t>
  </si>
  <si>
    <t>HM</t>
  </si>
  <si>
    <t>MWK</t>
  </si>
  <si>
    <t>HN</t>
  </si>
  <si>
    <t>MXN</t>
  </si>
  <si>
    <t>HR</t>
  </si>
  <si>
    <t>Croatia</t>
  </si>
  <si>
    <t>MXV</t>
  </si>
  <si>
    <t>HT</t>
  </si>
  <si>
    <t>MYR</t>
  </si>
  <si>
    <t>HU</t>
  </si>
  <si>
    <t>Hungary</t>
  </si>
  <si>
    <t>MZN</t>
  </si>
  <si>
    <t>ID</t>
  </si>
  <si>
    <t>NAD</t>
  </si>
  <si>
    <t>IE</t>
  </si>
  <si>
    <t>Ireland</t>
  </si>
  <si>
    <t>NGN</t>
  </si>
  <si>
    <t>IL</t>
  </si>
  <si>
    <t>NIO</t>
  </si>
  <si>
    <t>IM</t>
  </si>
  <si>
    <t>NOK</t>
  </si>
  <si>
    <t>IN</t>
  </si>
  <si>
    <t>NPR</t>
  </si>
  <si>
    <t>IO</t>
  </si>
  <si>
    <t>NZD</t>
  </si>
  <si>
    <t>IQ</t>
  </si>
  <si>
    <t>OMR</t>
  </si>
  <si>
    <t>IR</t>
  </si>
  <si>
    <t>PAB</t>
  </si>
  <si>
    <t>IS</t>
  </si>
  <si>
    <t>Iceland</t>
  </si>
  <si>
    <t>PEN</t>
  </si>
  <si>
    <t>IT</t>
  </si>
  <si>
    <t>Italy</t>
  </si>
  <si>
    <t>PGK</t>
  </si>
  <si>
    <t>JE</t>
  </si>
  <si>
    <t>PHP</t>
  </si>
  <si>
    <t>JM</t>
  </si>
  <si>
    <t>PKR</t>
  </si>
  <si>
    <t>JO</t>
  </si>
  <si>
    <t>PLN</t>
  </si>
  <si>
    <t>JP</t>
  </si>
  <si>
    <t>PYG</t>
  </si>
  <si>
    <t>KE</t>
  </si>
  <si>
    <t>QAR</t>
  </si>
  <si>
    <t>KG</t>
  </si>
  <si>
    <t>RON</t>
  </si>
  <si>
    <t>KH</t>
  </si>
  <si>
    <t>RSD</t>
  </si>
  <si>
    <t>KI</t>
  </si>
  <si>
    <t>RUB</t>
  </si>
  <si>
    <t>KM</t>
  </si>
  <si>
    <t>RWF</t>
  </si>
  <si>
    <t>KN</t>
  </si>
  <si>
    <t>SAR</t>
  </si>
  <si>
    <t>KP</t>
  </si>
  <si>
    <t>SBD</t>
  </si>
  <si>
    <t>KR</t>
  </si>
  <si>
    <t>SCR</t>
  </si>
  <si>
    <t>KW</t>
  </si>
  <si>
    <t>SDG</t>
  </si>
  <si>
    <t>KY</t>
  </si>
  <si>
    <t>SEK</t>
  </si>
  <si>
    <t>KZ</t>
  </si>
  <si>
    <t>SGD</t>
  </si>
  <si>
    <t>LA</t>
  </si>
  <si>
    <t>SHP</t>
  </si>
  <si>
    <t>LB</t>
  </si>
  <si>
    <t>SLE</t>
  </si>
  <si>
    <t>LC</t>
  </si>
  <si>
    <t>SLL</t>
  </si>
  <si>
    <t>LI</t>
  </si>
  <si>
    <t>Liechtenstein</t>
  </si>
  <si>
    <t>SOS</t>
  </si>
  <si>
    <t>LK</t>
  </si>
  <si>
    <t>SRD</t>
  </si>
  <si>
    <t>LR</t>
  </si>
  <si>
    <t>SSP</t>
  </si>
  <si>
    <t>LS</t>
  </si>
  <si>
    <t>STN</t>
  </si>
  <si>
    <t>LT</t>
  </si>
  <si>
    <t>Lithuania</t>
  </si>
  <si>
    <t>SVC</t>
  </si>
  <si>
    <t>LU</t>
  </si>
  <si>
    <t>Luxembourg</t>
  </si>
  <si>
    <t>SYP</t>
  </si>
  <si>
    <t>LV</t>
  </si>
  <si>
    <t>Latvia</t>
  </si>
  <si>
    <t>SZL</t>
  </si>
  <si>
    <t>LY</t>
  </si>
  <si>
    <t>THB</t>
  </si>
  <si>
    <t>MA</t>
  </si>
  <si>
    <t>TJS</t>
  </si>
  <si>
    <t>MC</t>
  </si>
  <si>
    <t>TMT</t>
  </si>
  <si>
    <t>MD</t>
  </si>
  <si>
    <t>TND</t>
  </si>
  <si>
    <t>ME</t>
  </si>
  <si>
    <t>TOP</t>
  </si>
  <si>
    <t>MF</t>
  </si>
  <si>
    <t>TRY</t>
  </si>
  <si>
    <t>MG</t>
  </si>
  <si>
    <t>TTD</t>
  </si>
  <si>
    <t>MH</t>
  </si>
  <si>
    <t>TWD</t>
  </si>
  <si>
    <t>MK</t>
  </si>
  <si>
    <t>TZS</t>
  </si>
  <si>
    <t>ML</t>
  </si>
  <si>
    <t>UAH</t>
  </si>
  <si>
    <t>MM</t>
  </si>
  <si>
    <t>UGX</t>
  </si>
  <si>
    <t>MN</t>
  </si>
  <si>
    <t>USD</t>
  </si>
  <si>
    <t>MO</t>
  </si>
  <si>
    <t>UYI</t>
  </si>
  <si>
    <t>MP</t>
  </si>
  <si>
    <t>UYU</t>
  </si>
  <si>
    <t>MQ</t>
  </si>
  <si>
    <t>UYW</t>
  </si>
  <si>
    <t>MR</t>
  </si>
  <si>
    <t>UZS</t>
  </si>
  <si>
    <t>MS</t>
  </si>
  <si>
    <t>VED</t>
  </si>
  <si>
    <t>MT</t>
  </si>
  <si>
    <t>Malta</t>
  </si>
  <si>
    <t>VES</t>
  </si>
  <si>
    <t>MU</t>
  </si>
  <si>
    <t>VND</t>
  </si>
  <si>
    <t>MV</t>
  </si>
  <si>
    <t>VUV</t>
  </si>
  <si>
    <t>MW</t>
  </si>
  <si>
    <t>WST</t>
  </si>
  <si>
    <t>MX</t>
  </si>
  <si>
    <t>XAF</t>
  </si>
  <si>
    <t>MY</t>
  </si>
  <si>
    <t>XCD</t>
  </si>
  <si>
    <t>MZ</t>
  </si>
  <si>
    <t>XDR</t>
  </si>
  <si>
    <t>NA</t>
  </si>
  <si>
    <t>XOF</t>
  </si>
  <si>
    <t>NC</t>
  </si>
  <si>
    <t>XPF</t>
  </si>
  <si>
    <t>NE</t>
  </si>
  <si>
    <t>YER</t>
  </si>
  <si>
    <t>NF</t>
  </si>
  <si>
    <t>ZAR</t>
  </si>
  <si>
    <t>NG</t>
  </si>
  <si>
    <t>ZMW</t>
  </si>
  <si>
    <t>NI</t>
  </si>
  <si>
    <t>ZWL</t>
  </si>
  <si>
    <t>NL</t>
  </si>
  <si>
    <t>Netherlands</t>
  </si>
  <si>
    <t>NO</t>
  </si>
  <si>
    <t>Norway</t>
  </si>
  <si>
    <t>NP</t>
  </si>
  <si>
    <t>NR</t>
  </si>
  <si>
    <t>NU</t>
  </si>
  <si>
    <t>NZ</t>
  </si>
  <si>
    <t>OM</t>
  </si>
  <si>
    <t>PA</t>
  </si>
  <si>
    <t>PE</t>
  </si>
  <si>
    <t>PF</t>
  </si>
  <si>
    <t>PG</t>
  </si>
  <si>
    <t>PH</t>
  </si>
  <si>
    <t>PK</t>
  </si>
  <si>
    <t>PL</t>
  </si>
  <si>
    <t>Poland</t>
  </si>
  <si>
    <t>PM</t>
  </si>
  <si>
    <t>PN</t>
  </si>
  <si>
    <t>PR</t>
  </si>
  <si>
    <t>PS</t>
  </si>
  <si>
    <t>PT</t>
  </si>
  <si>
    <t>Portugal</t>
  </si>
  <si>
    <t>PW</t>
  </si>
  <si>
    <t>PY</t>
  </si>
  <si>
    <t>QA</t>
  </si>
  <si>
    <t>QP</t>
  </si>
  <si>
    <t>RE</t>
  </si>
  <si>
    <t>RO</t>
  </si>
  <si>
    <t>Romania</t>
  </si>
  <si>
    <t>RS</t>
  </si>
  <si>
    <t>RU</t>
  </si>
  <si>
    <t>RW</t>
  </si>
  <si>
    <t>SA</t>
  </si>
  <si>
    <t>SB</t>
  </si>
  <si>
    <t>SC</t>
  </si>
  <si>
    <t>SD</t>
  </si>
  <si>
    <t>SE</t>
  </si>
  <si>
    <t>Sweden</t>
  </si>
  <si>
    <t>SG</t>
  </si>
  <si>
    <t>SH</t>
  </si>
  <si>
    <t>SI</t>
  </si>
  <si>
    <t>Slovenia</t>
  </si>
  <si>
    <t>SJ</t>
  </si>
  <si>
    <t>SK</t>
  </si>
  <si>
    <t>Slovakia</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</si>
  <si>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</si>
  <si>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</si>
  <si>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</si>
  <si>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</si>
  <si>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</si>
  <si>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</si>
  <si>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</si>
  <si>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</si>
  <si>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</si>
  <si>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</si>
  <si>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</si>
  <si>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</si>
  <si>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</si>
  <si>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</si>
  <si>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</si>
  <si>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</si>
  <si>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</si>
  <si>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</si>
  <si>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</si>
  <si>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</si>
  <si>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</si>
  <si>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</si>
  <si>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</si>
  <si>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</si>
  <si>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</si>
  <si>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</si>
  <si>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</si>
  <si>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</si>
  <si>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</si>
  <si>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</si>
  <si>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</si>
  <si>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</si>
  <si>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</si>
  <si>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</si>
  <si>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</si>
  <si>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</si>
  <si>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</si>
  <si>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</si>
  <si>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</si>
  <si>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</si>
  <si>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</si>
  <si>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</si>
  <si>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</si>
  <si>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</si>
  <si>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</si>
  <si>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</si>
  <si>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</si>
  <si>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</si>
  <si>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</si>
  <si>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</si>
  <si>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</si>
  <si>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</si>
  <si>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</si>
  <si>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</si>
  <si>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</si>
  <si>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</si>
  <si>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</si>
  <si>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</si>
  <si>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</si>
  <si>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</si>
  <si>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</si>
  <si>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</si>
  <si>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</si>
  <si>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</si>
  <si>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</si>
  <si>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</si>
  <si>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</si>
  <si>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</si>
  <si>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</si>
  <si>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</si>
  <si>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</si>
  <si>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</si>
  <si>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</si>
  <si>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</si>
  <si>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</si>
  <si>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</si>
  <si>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</si>
  <si>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</si>
  <si>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</si>
  <si>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</si>
  <si>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</si>
  <si>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</si>
  <si>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</si>
  <si>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</si>
  <si>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</si>
  <si>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</si>
  <si>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</si>
  <si>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</si>
  <si>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</si>
  <si>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</si>
  <si>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</si>
  <si>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</si>
  <si>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</si>
  <si>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</si>
  <si>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</si>
  <si>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</si>
  <si>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</si>
  <si>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</si>
  <si>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</si>
  <si>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</si>
  <si>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</si>
  <si>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</si>
  <si>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</si>
  <si>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</si>
  <si>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</si>
  <si>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</si>
  <si>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</si>
  <si>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</si>
  <si>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</si>
  <si>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</si>
  <si>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</si>
  <si>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</si>
  <si>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</si>
  <si>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</si>
  <si>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</si>
  <si>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</si>
  <si>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</si>
  <si>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</si>
  <si>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</si>
  <si>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</si>
  <si>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</si>
  <si>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</si>
  <si>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</si>
  <si>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</si>
  <si>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</si>
  <si>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</si>
  <si>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</si>
  <si>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</si>
  <si>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</si>
  <si>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</si>
  <si>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</si>
  <si>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</si>
  <si>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</si>
  <si>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</si>
  <si>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</si>
  <si>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</si>
  <si>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</si>
  <si>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</si>
  <si>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</si>
  <si>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</si>
  <si>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</si>
  <si>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</si>
  <si>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</si>
  <si>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</si>
  <si>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</si>
  <si>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</si>
  <si>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</si>
  <si>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</si>
  <si>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</si>
  <si>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</si>
  <si>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</si>
  <si>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</si>
  <si>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</si>
  <si>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</si>
  <si>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</si>
  <si>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</si>
  <si>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</si>
  <si>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</si>
  <si>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</si>
  <si>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</si>
  <si>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</si>
  <si>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</si>
  <si>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</si>
  <si>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</si>
  <si>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</si>
  <si>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</si>
  <si>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</si>
  <si>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</si>
  <si>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</si>
  <si>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</si>
  <si>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</si>
  <si>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</si>
  <si>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</si>
  <si>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</si>
  <si>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</si>
  <si>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</si>
  <si>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</si>
  <si>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</si>
  <si>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</si>
  <si>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</si>
  <si>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</si>
  <si>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</si>
  <si>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</si>
  <si>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</si>
  <si>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</si>
  <si>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</si>
  <si>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</si>
  <si>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</si>
  <si>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</si>
  <si>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</si>
  <si>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</si>
  <si>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</si>
  <si>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</si>
  <si>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</si>
  <si>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</si>
  <si>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</si>
  <si>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</si>
  <si>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</si>
  <si>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</si>
  <si>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</si>
  <si>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</si>
  <si>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</si>
  <si>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</si>
  <si>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</si>
  <si>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</si>
  <si>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</si>
  <si>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</si>
  <si>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</si>
  <si>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</si>
  <si>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</si>
  <si>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</si>
  <si>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</si>
  <si>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</si>
  <si>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</si>
  <si>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</si>
  <si>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</si>
  <si>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</si>
  <si>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</si>
  <si>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</si>
  <si>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</si>
  <si>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</si>
  <si>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</si>
  <si>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</si>
  <si>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</si>
  <si>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</si>
  <si>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</si>
  <si>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</si>
  <si>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</si>
  <si>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</si>
  <si>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</si>
  <si>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</si>
  <si>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</si>
  <si>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</si>
  <si>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</si>
  <si>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</si>
  <si>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</si>
  <si>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</si>
  <si>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</si>
  <si>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</si>
  <si>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</si>
  <si>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</si>
  <si>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</si>
  <si>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</si>
  <si>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</si>
  <si>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</si>
  <si>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</si>
  <si>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</si>
  <si>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</si>
  <si>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</si>
  <si>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</si>
  <si>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</si>
  <si>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</si>
  <si>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</si>
  <si>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</si>
  <si>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</si>
  <si>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</si>
  <si>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</si>
  <si>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</si>
  <si>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</si>
  <si>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</si>
  <si>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</si>
  <si>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</si>
  <si>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</si>
  <si>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</si>
  <si>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</si>
  <si>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</si>
  <si>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</si>
  <si>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</si>
  <si>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</si>
  <si>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</si>
  <si>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</si>
  <si>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</si>
  <si>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</si>
  <si>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</si>
  <si>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</si>
  <si>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</si>
  <si>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</si>
  <si>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</si>
  <si>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</si>
  <si>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</si>
  <si>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</si>
  <si>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</si>
  <si>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</si>
  <si>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</si>
  <si>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</si>
  <si>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</si>
  <si>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</si>
  <si>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</si>
  <si>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</si>
  <si>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</si>
  <si>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</si>
  <si>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</si>
  <si>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</si>
  <si>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</si>
  <si>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</si>
  <si>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</si>
  <si>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</si>
  <si>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</si>
  <si>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</si>
  <si>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</si>
  <si>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</si>
  <si>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</si>
  <si>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</si>
  <si>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</si>
  <si>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</si>
  <si>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</si>
  <si>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</si>
  <si>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</si>
  <si>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</si>
  <si>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</si>
  <si>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</si>
  <si>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</si>
  <si>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</si>
  <si>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</si>
  <si>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</si>
  <si>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</si>
  <si>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</si>
  <si>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</si>
  <si>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</si>
  <si>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</si>
  <si>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</si>
  <si>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</si>
  <si>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</si>
  <si>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</si>
  <si>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</si>
  <si>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</si>
  <si>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</si>
  <si>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</si>
  <si>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</si>
  <si>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</si>
  <si>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</si>
  <si>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</si>
  <si>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</si>
  <si>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</si>
  <si>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</si>
  <si>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</si>
  <si>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</si>
  <si>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</si>
  <si>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</si>
  <si>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</si>
  <si>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</si>
  <si>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</si>
  <si>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</si>
  <si>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</si>
  <si>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</si>
  <si>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</si>
  <si>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</si>
  <si>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</si>
  <si>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</si>
  <si>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</si>
  <si>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</si>
  <si>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</si>
  <si>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</si>
  <si>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</si>
  <si>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</si>
  <si>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</si>
  <si>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</si>
  <si>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</si>
  <si>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</si>
  <si>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</si>
  <si>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</si>
  <si>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</si>
  <si>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</si>
  <si>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</si>
  <si>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</si>
  <si>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</si>
  <si>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</si>
  <si>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</si>
  <si>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</si>
  <si>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</si>
  <si>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</si>
  <si>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</si>
  <si>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</si>
  <si>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</si>
  <si>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</si>
  <si>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</si>
  <si>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</si>
  <si>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</si>
  <si>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</si>
  <si>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</si>
  <si>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</si>
  <si>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</si>
  <si>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</si>
  <si>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</si>
  <si>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</si>
  <si>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</si>
  <si>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</si>
  <si>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</si>
  <si>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</si>
  <si>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</si>
  <si>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</si>
  <si>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</si>
  <si>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</si>
  <si>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</si>
  <si>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</si>
  <si>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</si>
  <si>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</si>
  <si>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</si>
  <si>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</si>
  <si>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</si>
  <si>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</si>
  <si>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</si>
  <si>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</si>
  <si>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</si>
  <si>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</si>
  <si>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</si>
  <si>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</si>
  <si>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</si>
  <si>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</si>
  <si>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</si>
  <si>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</si>
  <si>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</si>
  <si>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</si>
  <si>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</si>
  <si>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</si>
  <si>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</si>
  <si>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</si>
  <si>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</si>
  <si>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</si>
  <si>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</si>
  <si>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</si>
  <si>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</si>
  <si>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</si>
  <si>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</si>
  <si>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</si>
  <si>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</si>
  <si>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</si>
  <si>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</si>
  <si>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</si>
  <si>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</si>
  <si>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</si>
  <si>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</si>
  <si>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</si>
  <si>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</si>
  <si>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</si>
  <si>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</si>
  <si>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</si>
  <si>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</si>
  <si>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</si>
  <si>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</si>
  <si>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</si>
  <si>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</si>
  <si>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</si>
  <si>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</si>
  <si>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</si>
  <si>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</si>
  <si>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</si>
  <si>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</si>
  <si>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</si>
  <si>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</si>
  <si>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</si>
  <si>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</si>
  <si>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</si>
  <si>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</si>
  <si>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</si>
  <si>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</si>
  <si>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</si>
  <si>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</si>
  <si>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</si>
  <si>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</si>
  <si>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</si>
  <si>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</si>
  <si>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</si>
  <si>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</si>
  <si>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</si>
  <si>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</si>
  <si>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</si>
  <si>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</si>
  <si>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</si>
  <si>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</si>
  <si>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</si>
  <si>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</si>
  <si>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</si>
  <si>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</si>
  <si>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</si>
  <si>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</si>
  <si>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</si>
  <si>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</si>
  <si>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</si>
  <si>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</si>
  <si>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</si>
  <si>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</si>
  <si>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</si>
  <si>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</si>
  <si>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</si>
  <si>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</si>
  <si>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</si>
  <si>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</si>
  <si>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</si>
  <si>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</si>
  <si>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</si>
  <si>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</si>
  <si>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</si>
  <si>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</si>
  <si>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</si>
  <si>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</si>
  <si>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</si>
  <si>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</si>
  <si>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</si>
  <si>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</si>
  <si>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</si>
  <si>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</si>
  <si>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</si>
  <si>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</si>
  <si>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</si>
  <si>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</si>
  <si>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</si>
  <si>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</si>
  <si>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</si>
  <si>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</si>
  <si>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</si>
  <si>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</si>
  <si>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</si>
  <si>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</si>
  <si>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</si>
  <si>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</si>
  <si>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</si>
  <si>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</si>
  <si>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</si>
  <si>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</si>
  <si>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</si>
  <si>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</si>
  <si>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</si>
  <si>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</si>
  <si>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</si>
  <si>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</si>
  <si>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</si>
  <si>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</si>
  <si>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</si>
  <si>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</si>
  <si>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</si>
  <si>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</si>
  <si>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</si>
  <si>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</si>
  <si>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</si>
  <si>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</si>
  <si>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</si>
  <si>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</si>
  <si>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</si>
  <si>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</si>
  <si>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</si>
  <si>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</si>
  <si>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</si>
  <si>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</si>
  <si>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</si>
  <si>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</si>
  <si>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</si>
  <si>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</si>
  <si>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</si>
  <si>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</si>
  <si>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</si>
  <si>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</si>
  <si>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</si>
  <si>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</si>
  <si>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</si>
  <si>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</si>
  <si>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</si>
  <si>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</si>
  <si>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</si>
  <si>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</si>
  <si>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</si>
  <si>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</si>
  <si>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</si>
  <si>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</si>
  <si>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</si>
  <si>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</si>
  <si>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</si>
  <si>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</si>
  <si>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</si>
  <si>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</si>
  <si>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</si>
  <si>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</si>
  <si>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</si>
  <si>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</si>
  <si>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</si>
  <si>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</si>
  <si>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</si>
  <si>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</si>
  <si>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</si>
  <si>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</si>
  <si>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</si>
  <si>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</si>
  <si>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</si>
  <si>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</si>
  <si>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</si>
  <si>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</si>
  <si>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</si>
  <si>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</si>
  <si>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</si>
  <si>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</si>
  <si>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</si>
  <si>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</si>
  <si>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</si>
  <si>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</si>
  <si>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</si>
  <si>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</si>
  <si>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</si>
  <si>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</si>
  <si>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</si>
  <si>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</si>
  <si>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</si>
  <si>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</si>
  <si>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</si>
  <si>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</si>
  <si>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</si>
  <si>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</si>
  <si>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</si>
  <si>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</si>
  <si>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</si>
  <si>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</si>
  <si>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</si>
  <si>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</si>
  <si>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</si>
  <si>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</si>
  <si>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</si>
  <si>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</si>
  <si>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</si>
  <si>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</si>
  <si>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</si>
  <si>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</si>
  <si>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</si>
  <si>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</si>
  <si>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</si>
  <si>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</si>
  <si>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</si>
  <si>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</si>
  <si>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</si>
  <si>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</si>
  <si>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</si>
  <si>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</si>
  <si>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</si>
  <si>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</si>
  <si>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</si>
  <si>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</si>
  <si>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</si>
  <si>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</si>
  <si>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</si>
  <si>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</si>
  <si>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</si>
  <si>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</si>
  <si>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</si>
  <si>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</si>
  <si>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</si>
  <si>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</si>
  <si>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</si>
  <si>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</si>
  <si>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</si>
  <si>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</si>
  <si>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</si>
  <si>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</si>
  <si>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</si>
  <si>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</si>
  <si>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</si>
  <si>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</si>
  <si>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</si>
  <si>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</si>
  <si>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</si>
  <si>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</si>
  <si>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</si>
  <si>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</si>
  <si>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</si>
  <si>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</si>
  <si>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</si>
  <si>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</si>
  <si>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</si>
  <si>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</si>
  <si>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</si>
  <si>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</si>
  <si>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</si>
  <si>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</si>
  <si>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</si>
  <si>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</si>
  <si>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</si>
  <si>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</si>
  <si>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</si>
  <si>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</si>
  <si>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</si>
  <si>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</si>
  <si>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</si>
  <si>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</si>
  <si>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</si>
  <si>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</si>
  <si>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</si>
  <si>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</si>
  <si>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</si>
  <si>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</si>
  <si>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</si>
  <si>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</si>
  <si>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</si>
  <si>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</si>
  <si>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</si>
  <si>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</si>
  <si>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</si>
  <si>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</si>
  <si>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</si>
  <si>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</si>
  <si>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</si>
  <si>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</si>
  <si>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</si>
  <si>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</si>
  <si>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</si>
  <si>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</si>
  <si>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</si>
  <si>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</si>
  <si>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</si>
  <si>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</si>
  <si>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</si>
  <si>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</si>
  <si>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</si>
  <si>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</si>
  <si>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</si>
  <si>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</si>
  <si>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</si>
  <si>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</si>
  <si>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</si>
  <si>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</si>
  <si>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</si>
  <si>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</si>
  <si>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</si>
  <si>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</si>
  <si>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</si>
  <si>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</si>
  <si>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</si>
  <si>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</si>
  <si>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</si>
  <si>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</si>
  <si>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</si>
  <si>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</si>
  <si>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</si>
  <si>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</si>
  <si>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</si>
  <si>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</si>
  <si>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</si>
  <si>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</si>
  <si>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</si>
  <si>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</si>
  <si>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</si>
  <si>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</si>
  <si>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</si>
  <si>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</si>
  <si>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</si>
  <si>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</si>
  <si>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</si>
  <si>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</si>
  <si>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</si>
  <si>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</si>
  <si>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</si>
  <si>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</si>
  <si>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</si>
  <si>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</si>
  <si>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</si>
  <si>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</si>
  <si>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</si>
  <si>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</si>
  <si>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</si>
  <si>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</si>
  <si>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</si>
  <si>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</si>
  <si>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</si>
  <si>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</si>
  <si>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</si>
  <si>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</si>
  <si>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</si>
  <si>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</si>
  <si>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</si>
  <si>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</si>
  <si>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</si>
  <si>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</si>
  <si>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</si>
  <si>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</si>
  <si>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</si>
  <si>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</si>
  <si>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</si>
  <si>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</si>
  <si>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</si>
  <si>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</si>
  <si>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</si>
  <si>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</si>
  <si>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</si>
  <si>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</si>
  <si>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</si>
  <si>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</si>
  <si>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</si>
  <si>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</si>
  <si>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</si>
  <si>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</si>
  <si>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</si>
  <si>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</si>
  <si>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</si>
  <si>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</si>
  <si>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</si>
  <si>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</si>
  <si>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</si>
  <si>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</si>
  <si>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</si>
  <si>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</si>
  <si>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</si>
  <si>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</si>
  <si>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</si>
  <si>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</si>
  <si>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</si>
  <si>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</si>
  <si>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</si>
  <si>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</si>
  <si>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</si>
  <si>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</si>
  <si>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</si>
  <si>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</si>
  <si>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</si>
  <si>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</si>
  <si>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</si>
  <si>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</si>
  <si>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iii.</t>
  </si>
  <si>
    <t>iv.</t>
  </si>
  <si>
    <t>v.</t>
  </si>
  <si>
    <t>vi.</t>
  </si>
  <si>
    <t>vii.</t>
  </si>
  <si>
    <t>viii.</t>
  </si>
  <si>
    <t>ix.</t>
  </si>
  <si>
    <t>x.</t>
  </si>
  <si>
    <t>xi.</t>
  </si>
  <si>
    <t>xii.</t>
  </si>
  <si>
    <t>xiii.</t>
  </si>
  <si>
    <t>xiv.</t>
  </si>
  <si>
    <t>(a)</t>
  </si>
  <si>
    <t>(b)</t>
  </si>
  <si>
    <t>(c)</t>
  </si>
  <si>
    <t>CNTR_List_ExistGoodTypesInclDir</t>
  </si>
  <si>
    <t>GoodID</t>
  </si>
  <si>
    <t>RouteID 1</t>
  </si>
  <si>
    <t>RouteID 2</t>
  </si>
  <si>
    <t>RouteID 3</t>
  </si>
  <si>
    <t>RouteID 4</t>
  </si>
  <si>
    <t>RouteID 5</t>
  </si>
  <si>
    <t>RouteID 6</t>
  </si>
  <si>
    <t>Incomplete?</t>
  </si>
  <si>
    <t>G1</t>
  </si>
  <si>
    <t>CNTR_List_ExistGoodTypes</t>
  </si>
  <si>
    <t>G2</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</si>
  <si>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</si>
  <si>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</si>
  <si>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</si>
  <si>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</si>
  <si>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</si>
  <si>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</si>
  <si>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</si>
  <si>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</si>
  <si>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</si>
  <si>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</si>
  <si>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</si>
  <si>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</si>
  <si>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</si>
  <si>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</si>
  <si>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</si>
  <si>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</si>
  <si>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</si>
  <si>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</si>
  <si>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P2</t>
  </si>
  <si>
    <t>P3</t>
  </si>
  <si>
    <t>P4</t>
  </si>
  <si>
    <t>P5</t>
  </si>
  <si>
    <t>P6</t>
  </si>
  <si>
    <t>P7</t>
  </si>
  <si>
    <t>P8</t>
  </si>
  <si>
    <t>P9</t>
  </si>
  <si>
    <t>P10</t>
  </si>
  <si>
    <t>Completeness check:</t>
  </si>
  <si>
    <t>Country code</t>
  </si>
  <si>
    <t>CNTR_List_ExistPurchPrec</t>
  </si>
  <si>
    <t>CNTR_List_ExistPurchPrecNames</t>
  </si>
  <si>
    <t>ProdRoute All?</t>
  </si>
  <si>
    <t>PP1</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</si>
  <si>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</si>
  <si>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</si>
  <si>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</si>
  <si>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</si>
  <si>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</si>
  <si>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</si>
  <si>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</si>
  <si>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</si>
  <si>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</si>
  <si>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</si>
  <si>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</si>
  <si>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</si>
  <si>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</si>
  <si>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</si>
  <si>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</si>
  <si>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</si>
  <si>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</si>
  <si>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</si>
  <si>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</si>
  <si>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</si>
  <si>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</si>
  <si>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</si>
  <si>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t</t>
  </si>
  <si>
    <t/>
  </si>
  <si>
    <t>%</t>
  </si>
  <si>
    <t>fossil</t>
  </si>
  <si>
    <t>bio</t>
  </si>
  <si>
    <t>N2O</t>
  </si>
  <si>
    <t>CO2</t>
  </si>
  <si>
    <t>-</t>
  </si>
  <si>
    <t>Not relevant:</t>
  </si>
  <si>
    <t xml:space="preserve">(a) </t>
  </si>
  <si>
    <t>Numbering</t>
  </si>
  <si>
    <t>cond.form.</t>
  </si>
  <si>
    <t>(d)</t>
  </si>
  <si>
    <t>(e)</t>
  </si>
  <si>
    <t>(f)</t>
  </si>
  <si>
    <t>(g)</t>
  </si>
  <si>
    <t>(h)</t>
  </si>
  <si>
    <t>(i)</t>
  </si>
  <si>
    <t>(j)</t>
  </si>
  <si>
    <t>(k)</t>
  </si>
  <si>
    <t>MWh</t>
  </si>
  <si>
    <t>CP Paid</t>
  </si>
  <si>
    <t>Rebate</t>
  </si>
  <si>
    <t>Total CP Paid</t>
  </si>
  <si>
    <t>Total Rebate</t>
  </si>
  <si>
    <t>https://taxation-customs.ec.europa.eu/carbon-border-adjustment-mechanism_en</t>
  </si>
  <si>
    <t>Link to:</t>
  </si>
  <si>
    <t>D.2.1</t>
  </si>
  <si>
    <t>D.2.2</t>
  </si>
  <si>
    <t>D.2.3</t>
  </si>
  <si>
    <t>D.2.4</t>
  </si>
  <si>
    <t xml:space="preserve">(b) </t>
  </si>
  <si>
    <t xml:space="preserve">(c) </t>
  </si>
  <si>
    <t>IsPrecursor?</t>
  </si>
  <si>
    <t>CN Code List</t>
  </si>
  <si>
    <t>cond. form.</t>
  </si>
  <si>
    <t>72071919</t>
  </si>
  <si>
    <t>Parameter</t>
  </si>
  <si>
    <t>Value</t>
  </si>
  <si>
    <t>Aggregated good produced</t>
  </si>
  <si>
    <t>Route 1</t>
  </si>
  <si>
    <t>Route 2</t>
  </si>
  <si>
    <t>Route 3</t>
  </si>
  <si>
    <t>Route 4</t>
  </si>
  <si>
    <t>Route 5</t>
  </si>
  <si>
    <t>Route 6</t>
  </si>
  <si>
    <t>Production process</t>
  </si>
  <si>
    <t>Aggregated goods category</t>
  </si>
  <si>
    <t>Calculation - based (excl. PFC emissions)</t>
  </si>
  <si>
    <t>Total PFC emissions</t>
  </si>
  <si>
    <t>Measurement - based</t>
  </si>
  <si>
    <t>Other</t>
  </si>
  <si>
    <t>Name of the installation (English name):</t>
  </si>
  <si>
    <t>Street, Number:</t>
  </si>
  <si>
    <t>Economic activity:</t>
  </si>
  <si>
    <t>Country:</t>
  </si>
  <si>
    <t>Total direct emissions during reporting period:</t>
  </si>
  <si>
    <t>UNLOCODE:</t>
  </si>
  <si>
    <t>Total indirect emissions during reporting period:</t>
  </si>
  <si>
    <t>Coordinates of the main emission source (latitude):</t>
  </si>
  <si>
    <t>Total emissions during reporting period:</t>
  </si>
  <si>
    <t>Coordinates of the main emission source (longitude):</t>
  </si>
  <si>
    <t>Reporting period start:</t>
  </si>
  <si>
    <t>General information on data quality:</t>
  </si>
  <si>
    <t>Reporting period end:</t>
  </si>
  <si>
    <t>Justification for use of default values (if relevant):</t>
  </si>
  <si>
    <t>Information on quality assurance:</t>
  </si>
  <si>
    <t>Production process from which the products arise</t>
  </si>
  <si>
    <t>Type of aggregated good or precursor</t>
  </si>
  <si>
    <t>CN Codes</t>
  </si>
  <si>
    <t>CN Name</t>
  </si>
  <si>
    <t>Product name 
(used for communication with reporting declarant, e.g. on invoices)</t>
  </si>
  <si>
    <t>SEE (direct)</t>
  </si>
  <si>
    <t>SEE (indirect)</t>
  </si>
  <si>
    <t>SEE (total)</t>
  </si>
  <si>
    <t>Unit</t>
  </si>
  <si>
    <t>Share of emissions by default value</t>
  </si>
  <si>
    <t>Source for electricity EF</t>
  </si>
  <si>
    <t>Embedded electricity (MWh/t)</t>
  </si>
  <si>
    <t>The main reducing agent of the precursor, if known</t>
  </si>
  <si>
    <t>Steel mill identification number</t>
  </si>
  <si>
    <t>% Mn</t>
  </si>
  <si>
    <t>% Cr</t>
  </si>
  <si>
    <t>% Ni</t>
  </si>
  <si>
    <t>% other alloys</t>
  </si>
  <si>
    <t>% carbon</t>
  </si>
  <si>
    <t>t scrap per t steel</t>
  </si>
  <si>
    <t>% other materials</t>
  </si>
  <si>
    <t>% pre-consumer scrap</t>
  </si>
  <si>
    <t>t scrap per t aluminium</t>
  </si>
  <si>
    <t>% non-aluminium elements</t>
  </si>
  <si>
    <t>Clinker factor</t>
  </si>
  <si>
    <t>Calcined or not</t>
  </si>
  <si>
    <t>Concentration, if hydrous solution</t>
  </si>
  <si>
    <t>% nitric acid</t>
  </si>
  <si>
    <t>% urea</t>
  </si>
  <si>
    <t>% N contained</t>
  </si>
  <si>
    <t>% N as ammonium (NH4+)</t>
  </si>
  <si>
    <t>% N as nitrate (NO3–)</t>
  </si>
  <si>
    <t>% N as Urea</t>
  </si>
  <si>
    <t>% N in other (organic) forms</t>
  </si>
  <si>
    <t>Form of carbon price</t>
  </si>
  <si>
    <t>Share of total embedded emissions covered by the carbon price</t>
  </si>
  <si>
    <t>Embedded emissions covered by the carbon price</t>
  </si>
  <si>
    <t>Currency</t>
  </si>
  <si>
    <t>Carbon price (CP) due (local currency)</t>
  </si>
  <si>
    <t>Form of rebate</t>
  </si>
  <si>
    <t>Share of embedded emissions covered by the rebate</t>
  </si>
  <si>
    <t>Embedded emissions covered by rebate</t>
  </si>
  <si>
    <t>Amount of rebate (local currency)</t>
  </si>
  <si>
    <t>Result: Effective CP due</t>
  </si>
  <si>
    <t>Good produced</t>
  </si>
  <si>
    <t>CNTR_IOSupplyChain</t>
  </si>
  <si>
    <t>CNTR_Matrix_Inv</t>
  </si>
  <si>
    <t>CNTR_IOProcAndPrec</t>
  </si>
  <si>
    <t>Used for numbering in summary sheet to display SEE along whole supply chain</t>
  </si>
  <si>
    <t>CNTR_CBAMPeriod</t>
  </si>
  <si>
    <t>Transitional</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</si>
  <si>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</si>
  <si>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</si>
  <si>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</si>
  <si>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</si>
  <si>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</si>
  <si>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</si>
  <si>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</si>
  <si>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</si>
  <si>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</si>
  <si>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</si>
  <si>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</si>
  <si>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</si>
  <si>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</si>
  <si>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</si>
  <si>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</si>
  <si>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</si>
  <si>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</si>
  <si>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</si>
  <si>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</si>
  <si>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</si>
  <si>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</si>
  <si>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</si>
  <si>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</si>
  <si>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</si>
  <si>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</si>
  <si>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</si>
  <si>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</si>
  <si>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</si>
  <si>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</si>
  <si>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</si>
  <si>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</si>
  <si>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</si>
  <si>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</si>
  <si>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</si>
  <si>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Definitive</t>
  </si>
  <si>
    <t>CONST_TrueFalse</t>
  </si>
  <si>
    <t>CONST_torkNm3</t>
  </si>
  <si>
    <t>CONST_TJ</t>
  </si>
  <si>
    <t>CONST_GJ</t>
  </si>
  <si>
    <t>GJ</t>
  </si>
  <si>
    <t>CONST_t</t>
  </si>
  <si>
    <t>CONST_kNm3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</si>
  <si>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</si>
  <si>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</si>
  <si>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</si>
  <si>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</si>
  <si>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</si>
  <si>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</si>
  <si>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</si>
  <si>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</si>
  <si>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</si>
  <si>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</si>
  <si>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</si>
  <si>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</si>
  <si>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</si>
  <si>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</si>
  <si>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</si>
  <si>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</si>
  <si>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</si>
  <si>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</si>
  <si>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</si>
  <si>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</si>
  <si>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</si>
  <si>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</si>
  <si>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</si>
  <si>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</si>
  <si>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tC/1000Nm3</t>
  </si>
  <si>
    <t>CONST_tCptortCO2pkNm3</t>
  </si>
  <si>
    <t>CONST_hpa</t>
  </si>
  <si>
    <t>CONST_Nm3ph</t>
  </si>
  <si>
    <t>CONST_gpNm3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</si>
  <si>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</si>
  <si>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</si>
  <si>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</si>
  <si>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</si>
  <si>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</si>
  <si>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</si>
  <si>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</si>
  <si>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</si>
  <si>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</si>
  <si>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</si>
  <si>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</si>
  <si>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</si>
  <si>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</si>
  <si>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</si>
  <si>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CONST_ERR_Duplicate</t>
  </si>
  <si>
    <t>CONST_MeasuredOrDefault</t>
  </si>
  <si>
    <t>CONST_ProductionProcess</t>
  </si>
  <si>
    <t>CONST_PurchPrecursor</t>
  </si>
  <si>
    <t>CONST_LinkToGuidanceSheet</t>
  </si>
  <si>
    <t>CONST_LinkFromGuidance</t>
  </si>
  <si>
    <t>CONST_LinkToCPTool</t>
  </si>
  <si>
    <t>CONST_LinkToCHPTool</t>
  </si>
  <si>
    <t>Indirect emissions relevant?</t>
  </si>
  <si>
    <t>Relevant precursors</t>
  </si>
  <si>
    <t>CONST_CNTR_PrecNumbering</t>
  </si>
  <si>
    <t>CBAM good</t>
  </si>
  <si>
    <t>Production route relevant?</t>
  </si>
  <si>
    <t>Address</t>
  </si>
  <si>
    <t>from sheet A</t>
  </si>
  <si>
    <t>Relevant precursor?</t>
  </si>
  <si>
    <t>Numbering precursor</t>
  </si>
  <si>
    <t>Special parameters to be reported</t>
  </si>
  <si>
    <t>Formula:</t>
  </si>
  <si>
    <t>CONST_CNTR_ListGoodsForCN</t>
  </si>
  <si>
    <t>CNCodes_ListNames</t>
  </si>
  <si>
    <t>CNCodes_ListKey</t>
  </si>
  <si>
    <t>CNCodes_ListNumbering</t>
  </si>
  <si>
    <t>CNKEY</t>
  </si>
  <si>
    <t>CODE_EN</t>
  </si>
  <si>
    <t>SELFTEXT</t>
  </si>
  <si>
    <t>SELFTEXT_EN</t>
  </si>
  <si>
    <t>250700800080</t>
  </si>
  <si>
    <t>Kaolinic clays (other than kaolin)</t>
  </si>
  <si>
    <t>252310000080</t>
  </si>
  <si>
    <t>Cement clinkers</t>
  </si>
  <si>
    <t>252321000080</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</si>
  <si>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</si>
  <si>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</si>
  <si>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</si>
  <si>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</si>
  <si>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</si>
  <si>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</si>
  <si>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</si>
  <si>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</si>
  <si>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Agglomerated iron ores and concentrates (excl. roasted iron pyrites)</t>
  </si>
  <si>
    <t>271600000080</t>
  </si>
  <si>
    <t>Electrical energy</t>
  </si>
  <si>
    <t>280410000080</t>
  </si>
  <si>
    <t>Hydrogen</t>
  </si>
  <si>
    <t>280800000080</t>
  </si>
  <si>
    <t>Nitric acid; sulphonitric acids</t>
  </si>
  <si>
    <t>281400000080</t>
  </si>
  <si>
    <t>Ammonia, anhydrous or in aqueous solution</t>
  </si>
  <si>
    <t>281410000080</t>
  </si>
  <si>
    <t>Anhydrous ammonia</t>
  </si>
  <si>
    <t>281420000080</t>
  </si>
  <si>
    <t>Ammonia in aqueous solution</t>
  </si>
  <si>
    <t>283421000080</t>
  </si>
  <si>
    <t>Nitrate of potassium</t>
  </si>
  <si>
    <t>310200000080</t>
  </si>
  <si>
    <t>Mineral or chemical nitrogenous fertilisers (excl. those in tablets or similar forms, or in packages with a gross weight of &lt;= 10 kg)</t>
  </si>
  <si>
    <t>310210000080</t>
  </si>
  <si>
    <t>Urea, whether or not in aqueous solution (excl. that in tablets or similar forms, or in packages with a gross weight of &lt;= 10 kg)</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</si>
  <si>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</si>
  <si>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</si>
  <si>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</si>
  <si>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</si>
  <si>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</si>
  <si>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</si>
  <si>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</si>
  <si>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</si>
  <si>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310230000080</t>
  </si>
  <si>
    <t>Ammonium nitrate, whether or not in aqueous solution (excl. that in tablets or similar forms, or in packages with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</si>
  <si>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</si>
  <si>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</si>
  <si>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</si>
  <si>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</si>
  <si>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310240000080</t>
  </si>
  <si>
    <t>Mixtures of ammonium nitrate with calcium carbonate or other inorganic non-fertilising substances for use as fertilisers (excl. those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</si>
  <si>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</si>
  <si>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</si>
  <si>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</si>
  <si>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</si>
  <si>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</si>
  <si>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</si>
  <si>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</si>
  <si>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</si>
  <si>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</si>
  <si>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</si>
  <si>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</si>
  <si>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</si>
  <si>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</si>
  <si>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</si>
  <si>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</si>
  <si>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Mineral or chemical fertilisers of animal or vegetable origin, in tablets or similar forms, or in packages with a gross weight of &lt;= 10 kg</t>
  </si>
  <si>
    <t>310520000080</t>
  </si>
  <si>
    <t>Mineral or chemical fertilisers containing the three fertilising elements nitrogen, phosphorus and potassium (excl. those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</si>
  <si>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</si>
  <si>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</si>
  <si>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</si>
  <si>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</si>
  <si>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</si>
  <si>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</si>
  <si>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</si>
  <si>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</si>
  <si>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</si>
  <si>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</si>
  <si>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</si>
  <si>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</si>
  <si>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</si>
  <si>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</si>
  <si>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</si>
  <si>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</si>
  <si>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</si>
  <si>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</si>
  <si>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</si>
  <si>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Pig iron and spiegeleisen, in pigs, blocks or other primary forms</t>
  </si>
  <si>
    <t>720110000080</t>
  </si>
  <si>
    <t>Non-alloy pig iron in pigs, blocks or other primary forms, containing, by weight, &lt;= 0,5% of phosphorous</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</si>
  <si>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</si>
  <si>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</si>
  <si>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</si>
  <si>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</si>
  <si>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</si>
  <si>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</si>
  <si>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</si>
  <si>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</si>
  <si>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</si>
  <si>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</si>
  <si>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720150000080</t>
  </si>
  <si>
    <t>Alloy pig iron and spiegeleisen, in pigs, blocks or other primary forms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</si>
  <si>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</si>
  <si>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</si>
  <si>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</si>
  <si>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</si>
  <si>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720211000080</t>
  </si>
  <si>
    <t>Ferro-manganese, containing by weight &gt; 2% of carbon</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</si>
  <si>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</si>
  <si>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</si>
  <si>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</si>
  <si>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</si>
  <si>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</si>
  <si>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</si>
  <si>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720241000080</t>
  </si>
  <si>
    <t>Ferro-chromium, containing by weight &gt; 4% of carbon</t>
  </si>
  <si>
    <t>720241100080</t>
  </si>
  <si>
    <t>Ferro-chromium, containing by weight &gt; 4% but &lt;= 6% carbon</t>
  </si>
  <si>
    <t>720241900080</t>
  </si>
  <si>
    <t>Ferro-chromium, containing by weight &gt; 6% carbon</t>
  </si>
  <si>
    <t>720249000080</t>
  </si>
  <si>
    <t>Ferro-chromium, containing by weight &lt;= 4% of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</si>
  <si>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</si>
  <si>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</si>
  <si>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</si>
  <si>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</si>
  <si>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</si>
  <si>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</si>
  <si>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</si>
  <si>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</si>
  <si>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720300000080</t>
  </si>
  <si>
    <t>Ferrous products obtained by direct reduction of iron ore and other spongy ferrous products, in lumps, pellets or similar forms; iron having a minimum purity by weight of 99,94%, in lumps, pellets or similar forms</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</si>
  <si>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</si>
  <si>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</si>
  <si>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</si>
  <si>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</si>
  <si>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720500000080</t>
  </si>
  <si>
    <t>Granules and powders of pig iron, spiegeleisen, iron or steel (excl. granules and powders of ferro-alloys, turnings and filings of iron or steel, radioactive iron powders "isotopes" and certain low-calibre, substandard balls for ballbearings)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</si>
  <si>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</si>
  <si>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</si>
  <si>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</si>
  <si>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</si>
  <si>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</si>
  <si>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</si>
  <si>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720600000080</t>
  </si>
  <si>
    <t>Iron and non-alloy steel in ingots or other primary forms (excl. remelting scrap ingots, products obtained by continuous casting and iron of heading 7203)</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</si>
  <si>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</si>
  <si>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</si>
  <si>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</si>
  <si>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</si>
  <si>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720700000080</t>
  </si>
  <si>
    <t>Semi-finished products of iron or non-alloy steel</t>
  </si>
  <si>
    <t>720711000080</t>
  </si>
  <si>
    <t>Semi-finished products of iron or non-alloy steel containing, by weight, &lt; 0,25% of carbon, of square or rectangular cross-section, the width measuring &lt; twice the thickness</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</si>
  <si>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</si>
  <si>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</si>
  <si>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</si>
  <si>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</si>
  <si>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</si>
  <si>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</si>
  <si>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</si>
  <si>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</si>
  <si>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720712000080</t>
  </si>
  <si>
    <t>Semi-finished products of iron or non-alloy steel containing, by weight, &lt; 0,25% of carbon, of rectangular "other than square" cross-section, the width measuring &gt;= twice the thickness</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</si>
  <si>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</si>
  <si>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</si>
  <si>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</si>
  <si>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</si>
  <si>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720719000080</t>
  </si>
  <si>
    <t>Semi-finished products of iron or non-alloy steel containing, by weight, &lt; 0,25% of carbon, of circular cross-section, or of a cross-section other than square or rectangular</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</si>
  <si>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</si>
  <si>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</si>
  <si>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</si>
  <si>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</si>
  <si>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</si>
  <si>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</si>
  <si>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720720000080</t>
  </si>
  <si>
    <t>Semi-finished products of iron or non-alloy steel containing, by weight, &gt;= 0,25% of carbon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</si>
  <si>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</si>
  <si>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</si>
  <si>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</si>
  <si>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</si>
  <si>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</si>
  <si>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</si>
  <si>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</si>
  <si>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</si>
  <si>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</si>
  <si>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</si>
  <si>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</si>
  <si>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</si>
  <si>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</si>
  <si>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</si>
  <si>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</si>
  <si>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</si>
  <si>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</si>
  <si>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</si>
  <si>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720800000080</t>
  </si>
  <si>
    <t>Flat-rolled products of iron or non-alloy steel, of a width &gt;= 600 mm, hot-rolled, not clad, plated or coated</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</si>
  <si>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</si>
  <si>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</si>
  <si>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</si>
  <si>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</si>
  <si>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</si>
  <si>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</si>
  <si>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</si>
  <si>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</si>
  <si>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</si>
  <si>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</si>
  <si>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</si>
  <si>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</si>
  <si>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</si>
  <si>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</si>
  <si>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</si>
  <si>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</si>
  <si>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</si>
  <si>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</si>
  <si>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720851000080</t>
  </si>
  <si>
    <t>Flat-rolled products of iron or non-alloy steel, of a width &gt;= 600 mm, not in coils, simply hot-rolled, not clad, plated or coated, of a thickness of &gt; 10 mm, without patterns in relief</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</si>
  <si>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</si>
  <si>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</si>
  <si>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</si>
  <si>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</si>
  <si>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</si>
  <si>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</si>
  <si>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720852000080</t>
  </si>
  <si>
    <t>Flat-rolled products of iron or non-alloy steel, of a width of &gt;= 600 mm, not in coils, simply hot-rolled, not clad, plated or coated, of a thickness of &gt;= 4,75 mm but &lt;= 10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</si>
  <si>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</si>
  <si>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</si>
  <si>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</si>
  <si>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</si>
  <si>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</si>
  <si>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</si>
  <si>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</si>
  <si>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Flat-rolled products of iron or non-alloy steel, of a width of &gt;= 600 mm, not in coils, simply hot-rolled, not clad, plated or coated, of a thickness of &gt;= 3 mm but &lt; 4,75 mm, without patterns in relief</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</si>
  <si>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</si>
  <si>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</si>
  <si>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</si>
  <si>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</si>
  <si>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</si>
  <si>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</si>
  <si>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720890000080</t>
  </si>
  <si>
    <t>Flat-rolled products of iron or steel, of a width &gt;= 600 mm, hot-rolled and further worked, but not clad, plated or coated</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</si>
  <si>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</si>
  <si>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</si>
  <si>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</si>
  <si>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</si>
  <si>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720900000080</t>
  </si>
  <si>
    <t>Flat-rolled products of iron or non-alloy steel, of a width of &gt;= 600 mm, cold-rolled "cold-reduced", not clad, plated or coated</t>
  </si>
  <si>
    <t>720915000080</t>
  </si>
  <si>
    <t>Flat-rolled products of iron or non-alloy steel, of a width of &gt;= 600 mm, in coils, simply cold-rolled "cold-reduced", not clad, plated or coated, of a thickness of &gt;= 3 mm</t>
  </si>
  <si>
    <t>720916000080</t>
  </si>
  <si>
    <t>Flat-rolled products of iron or non-alloy steel, of a width of &gt;= 600 mm, in coils, simply cold-rolled "cold-reduced", not clad, plated or coated, of a thickness of &gt; 1 mm but &lt;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</si>
  <si>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</si>
  <si>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</si>
  <si>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</si>
  <si>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</si>
  <si>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720917000080</t>
  </si>
  <si>
    <t>Flat-rolled products of iron or non-alloy steel, of a width of &gt;= 600 mm, in coils, simply cold-rolled "cold-reduced", not clad, plated or coated, of a thickness of &gt;= 0,5 mm but &lt;= 1 mm</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</si>
  <si>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</si>
  <si>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</si>
  <si>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</si>
  <si>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</si>
  <si>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720918000080</t>
  </si>
  <si>
    <t>Flat-rolled products of iron or non-alloy steel, of a width of &gt;= 600 mm, in coils, simply cold-rolled "cold-reduced", not clad, plated or coated, of a thickness of &lt; 0,5 mm</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</si>
  <si>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</si>
  <si>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</si>
  <si>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</si>
  <si>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</si>
  <si>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</si>
  <si>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</si>
  <si>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</si>
  <si>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</si>
  <si>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720926000080</t>
  </si>
  <si>
    <t>Flat-rolled products of iron or non-alloy steel, of a width of &gt;= 600 mm, not in coils, simply cold-rolled "cold-reduced", not clad, plated or coated, of a thickness of &gt; 1 mm but &lt;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</si>
  <si>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</si>
  <si>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</si>
  <si>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</si>
  <si>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</si>
  <si>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720927000080</t>
  </si>
  <si>
    <t>Flat-rolled products of iron or non-alloy steel, of a width of &gt;= 600 mm, not in coils, simply cold-rolled "cold-reduced", not clad, plated or coated, of a thickness of &gt;= 0,5 mm but &lt;= 1 mm</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</si>
  <si>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</si>
  <si>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</si>
  <si>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</si>
  <si>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</si>
  <si>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720928000080</t>
  </si>
  <si>
    <t>Flat-rolled products of iron or non-alloy steel, of a width of &gt;= 600 mm, not in coils, simply cold-rolled "cold-reduced", not clad, plated or coated, of a thickness of &lt; 0,5 mm</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</si>
  <si>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</si>
  <si>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</si>
  <si>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</si>
  <si>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</si>
  <si>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720990000080</t>
  </si>
  <si>
    <t>Flat-rolled products of iron or steel, of a width of &gt;= 600 mm, cold-rolled "cold-reduced", and further worked, but not clad, plated or coated</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</si>
  <si>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</si>
  <si>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</si>
  <si>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</si>
  <si>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</si>
  <si>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</si>
  <si>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</si>
  <si>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</si>
  <si>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Flat-rolled products of iron or non-alloy steel, of a width of &gt;= 600 mm, hot-rolled or cold-rolled "cold-reduced", tinned, of a thickness of &gt;= 0,5 mm</t>
  </si>
  <si>
    <t>721012000080</t>
  </si>
  <si>
    <t>Flat-rolled products of iron or non-alloy steel, of a width of &gt;= 600 mm, hot-rolled or cold-rolled "cold-reduced", tinned, of a thickness of &lt;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</si>
  <si>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</si>
  <si>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</si>
  <si>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</si>
  <si>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</si>
  <si>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</si>
  <si>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</si>
  <si>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</si>
  <si>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</si>
  <si>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</si>
  <si>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</si>
  <si>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</si>
  <si>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</si>
  <si>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</si>
  <si>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</si>
  <si>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</si>
  <si>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</si>
  <si>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</si>
  <si>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</si>
  <si>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721070000080</t>
  </si>
  <si>
    <t>Flat products of iron or non-alloy steel, of a width of &gt;= 600 mm, hot-rolled or cold-rolled "cold-reduced", painted, varnished or coated with plastics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</si>
  <si>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</si>
  <si>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</si>
  <si>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</si>
  <si>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</si>
  <si>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721090000080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</si>
  <si>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</si>
  <si>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</si>
  <si>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</si>
  <si>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</si>
  <si>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</si>
  <si>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</si>
  <si>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</si>
  <si>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</si>
  <si>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Flat-rolled products of iron or non-alloy steel, of a width of &lt; 600 mm, hot-rolled or cold-rolled "cold-reduced", not clad, plated or coated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</si>
  <si>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</si>
  <si>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</si>
  <si>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</si>
  <si>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</si>
  <si>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</si>
  <si>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</si>
  <si>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721123000080</t>
  </si>
  <si>
    <t>Flat-rolled products of iron or non-alloy steel, of a width of &lt; 600 mm, simply cold-rolled "cold-reduced", not clad, plated or coated, containing by weight &lt; 0,25% of carbon</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</si>
  <si>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</si>
  <si>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</si>
  <si>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</si>
  <si>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</si>
  <si>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</si>
  <si>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</si>
  <si>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</si>
  <si>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</si>
  <si>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721190000080</t>
  </si>
  <si>
    <t>Flat-rolled products of iron or non-alloy steel, of a width of &lt; 600 mm, hot-rolled or cold-rolled "cold-reduced" and further worked, but not clad, plated or coated</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</si>
  <si>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</si>
  <si>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</si>
  <si>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</si>
  <si>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</si>
  <si>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721200000080</t>
  </si>
  <si>
    <t>Flat-rolled products of iron or non-alloy steel, of a width of &lt; 600 mm, hot-rolled or cold-rolled "cold-reduced", clad, plated or coated</t>
  </si>
  <si>
    <t>721210000080</t>
  </si>
  <si>
    <t>Flat-rolled products of iron or non-alloy steel, of a width of &lt; 600 mm, hot-rolled or cold-rolled "cold-reduced", tinned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</si>
  <si>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</si>
  <si>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</si>
  <si>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</si>
  <si>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</si>
  <si>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</si>
  <si>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</si>
  <si>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</si>
  <si>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</si>
  <si>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721240000080</t>
  </si>
  <si>
    <t>Flat-rolled products of iron or non-alloy steel, of a width of &lt; 600 mm, hot-rolled or cold-rolled "cold-reduced", painted, varnished or coated with plastics</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</si>
  <si>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</si>
  <si>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</si>
  <si>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</si>
  <si>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</si>
  <si>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</si>
  <si>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Flat-rolled products of iron or non-alloy steel, of a width of &lt; 600 mm, hot-rolled or cold-rolled "cold-reduced", plated or coated (excl. tinned, plated or coated with zinc, painted, varnished or coated with plastics)</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</si>
  <si>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</si>
  <si>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</si>
  <si>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</si>
  <si>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</si>
  <si>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</si>
  <si>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</si>
  <si>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</si>
  <si>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</si>
  <si>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</si>
  <si>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</si>
  <si>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</si>
  <si>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</si>
  <si>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</si>
  <si>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</si>
  <si>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721300000080</t>
  </si>
  <si>
    <t>Bars and rods of iron or non-alloy steel, hot-rolled, in irregularly wound coils</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</si>
  <si>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</si>
  <si>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</si>
  <si>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</si>
  <si>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</si>
  <si>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721391000080</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</si>
  <si>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</si>
  <si>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</si>
  <si>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</si>
  <si>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</si>
  <si>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</si>
  <si>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</si>
  <si>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</si>
  <si>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</si>
  <si>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</si>
  <si>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</si>
  <si>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</si>
  <si>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</si>
  <si>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</si>
  <si>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</si>
  <si>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</si>
  <si>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</si>
  <si>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</si>
  <si>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</si>
  <si>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</si>
  <si>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</si>
  <si>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Bars and rods, of iron or non-alloy steel, not further worked than forged, hot-rolled, hot-drawn or hot-extruded, but incl. those twisted after rolling (excl. in irregularly wound coils)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</si>
  <si>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</si>
  <si>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</si>
  <si>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</si>
  <si>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</si>
  <si>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</si>
  <si>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</si>
  <si>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721491000080</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</si>
  <si>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</si>
  <si>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</si>
  <si>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</si>
  <si>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</si>
  <si>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</si>
  <si>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</si>
  <si>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</si>
  <si>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</si>
  <si>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</si>
  <si>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</si>
  <si>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</si>
  <si>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</si>
  <si>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</si>
  <si>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</si>
  <si>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</si>
  <si>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</si>
  <si>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</si>
  <si>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</si>
  <si>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</si>
  <si>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</si>
  <si>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</si>
  <si>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</si>
  <si>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Bars and rods, of iron or non-alloy steel, cold-formed or cold-finished, whether or not further worked, or hot-formed and further worked, n.e.s.</t>
  </si>
  <si>
    <t>721510000080</t>
  </si>
  <si>
    <t>Bars and rods, of non-alloy free-cutting steel, not further worked than cold-formed or cold-finished</t>
  </si>
  <si>
    <t>721550000080</t>
  </si>
  <si>
    <t>Bars and rods, of iron or non-alloy steel, not further worked than cold-formed or cold-finished (excl. of free-cutting steel)</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</si>
  <si>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</si>
  <si>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</si>
  <si>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</si>
  <si>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</si>
  <si>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</si>
  <si>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</si>
  <si>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</si>
  <si>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</si>
  <si>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721600000080</t>
  </si>
  <si>
    <t>Angles, shapes and sections of iron or non-alloy steel,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</si>
  <si>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</si>
  <si>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</si>
  <si>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</si>
  <si>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</si>
  <si>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</si>
  <si>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</si>
  <si>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721631000080</t>
  </si>
  <si>
    <t>U sections of iron or non-alloy steel, not further worked than hot-rolled, hot-drawn or hot-extruded, of a height &gt;=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</si>
  <si>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</si>
  <si>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</si>
  <si>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</si>
  <si>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</si>
  <si>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721632000080</t>
  </si>
  <si>
    <t>I sections of iron or non-alloy steel, not further worked than hot-rolled, hot-drawn or hot-extruded, of a height &gt;= 80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</si>
  <si>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</si>
  <si>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</si>
  <si>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</si>
  <si>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</si>
  <si>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</si>
  <si>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</si>
  <si>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</si>
  <si>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</si>
  <si>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721633000080</t>
  </si>
  <si>
    <t>H sections of iron or non-alloy steel, not further worked than hot-rolled, hot-drawn or hot-extruded, of a height &gt;= 80 mm</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</si>
  <si>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</si>
  <si>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</si>
  <si>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</si>
  <si>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</si>
  <si>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721640000080</t>
  </si>
  <si>
    <t>L sections of iron or non-alloy steel, not further worked than hot-rolled, hot-drawn or hot-extruded, of a height &gt;= 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</si>
  <si>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</si>
  <si>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</si>
  <si>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</si>
  <si>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</si>
  <si>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721650000080</t>
  </si>
  <si>
    <t>Sections of iron or non-alloy steel, not further worked than hot-rolled, hot-drawn or hot-extruded (excl. U, I, H, L or T sections)</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</si>
  <si>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</si>
  <si>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</si>
  <si>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</si>
  <si>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</si>
  <si>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</si>
  <si>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</si>
  <si>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721661000080</t>
  </si>
  <si>
    <t>Angles, shapes and sections, of iron or non-alloy steel, from flat-rolled products simply cold-formed or cold-finished (excl. profiled sheet)</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</si>
  <si>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</si>
  <si>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</si>
  <si>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</si>
  <si>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</si>
  <si>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</si>
  <si>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</si>
  <si>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721691000080</t>
  </si>
  <si>
    <t>Angles, shapes and sections, of iron or non-alloy steel, cold-formed or cold-finished from flat-rolled products and further worked</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</si>
  <si>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</si>
  <si>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</si>
  <si>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</si>
  <si>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</si>
  <si>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</si>
  <si>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</si>
  <si>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721700000080</t>
  </si>
  <si>
    <t>Wire of iron or non-alloy steel, in coils (excl. bars and rods)</t>
  </si>
  <si>
    <t>721710000080</t>
  </si>
  <si>
    <t>Wire of iron or non-alloy steel, in coils, not plated or coated, whether or not polished (excl. bars and rods)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</si>
  <si>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</si>
  <si>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</si>
  <si>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</si>
  <si>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</si>
  <si>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</si>
  <si>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</si>
  <si>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</si>
  <si>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</si>
  <si>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</si>
  <si>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</si>
  <si>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721720000080</t>
  </si>
  <si>
    <t>Wire of iron or non-alloy steel, in coils, plated or coated with zinc (excl.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</si>
  <si>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</si>
  <si>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</si>
  <si>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</si>
  <si>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</si>
  <si>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</si>
  <si>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</si>
  <si>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</si>
  <si>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</si>
  <si>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721730000080</t>
  </si>
  <si>
    <t>Wire of iron or non-alloy steel, in coils, plated or coated with base metals (excl. plated or coated with zinc, and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</si>
  <si>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</si>
  <si>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</si>
  <si>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</si>
  <si>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</si>
  <si>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</si>
  <si>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</si>
  <si>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</si>
  <si>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</si>
  <si>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721790000080</t>
  </si>
  <si>
    <t>Wire of iron or non-alloy steel, in coils, plated or coated (excl. plated or coated with base metals,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</si>
  <si>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</si>
  <si>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</si>
  <si>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</si>
  <si>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</si>
  <si>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</si>
  <si>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</si>
  <si>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721800000080</t>
  </si>
  <si>
    <t>Stainless steel in ingots or other primary forms (excl. remelting scrap ingots and products obtained by continuous casting); semi-finished products of stainless steel</t>
  </si>
  <si>
    <t>721810000080</t>
  </si>
  <si>
    <t>Steel, stainless, in ingots and other primary forms (excl. waste and scrap in ingot form, and products obtained by continuous casting)</t>
  </si>
  <si>
    <t>721891000080</t>
  </si>
  <si>
    <t>Semi-finished products of stainless steel, of rectangular "other than square" cross-section</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</si>
  <si>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</si>
  <si>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</si>
  <si>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</si>
  <si>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</si>
  <si>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721899000080</t>
  </si>
  <si>
    <t>Semi-finished products of stainless steel (excl. of rectangular [other than square] cross-section)</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</si>
  <si>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</si>
  <si>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</si>
  <si>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</si>
  <si>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</si>
  <si>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</si>
  <si>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</si>
  <si>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</si>
  <si>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</si>
  <si>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721900000080</t>
  </si>
  <si>
    <t>Flat-rolled products of stainless steel, of a width of &gt;= 600 mm, hot-rolled or cold-rolled "cold-reduced"</t>
  </si>
  <si>
    <t>721911000080</t>
  </si>
  <si>
    <t>Flat-rolled products of stainless steel, of a width of &gt;= 600 mm, not further worked than hot-rolled, in coils, of a thickness of &gt; 10 mm</t>
  </si>
  <si>
    <t>721912000080</t>
  </si>
  <si>
    <t>Flat-rolled products of stainless steel, of a width of&gt;= 600 mm, not further worked than hot-rolled, in coils, of a thickness of &gt;= 4,7 mm and &lt;=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</si>
  <si>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</si>
  <si>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</si>
  <si>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</si>
  <si>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</si>
  <si>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721913000080</t>
  </si>
  <si>
    <t>Flat-rolled products of stainless steel, of a width of &gt;= 600 mm, not further worked than hot-rolled, in coils, of a thickness of &gt;= 3 mm and &lt; 4,75 mm</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</si>
  <si>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</si>
  <si>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</si>
  <si>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</si>
  <si>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</si>
  <si>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721914000080</t>
  </si>
  <si>
    <t>Flat-rolled products of stainless steel, of a width of &gt;= 600 mm, not further worked than hot-rolled, in coils, of a thickness of &lt; 3 mm</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</si>
  <si>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</si>
  <si>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</si>
  <si>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</si>
  <si>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</si>
  <si>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721921000080</t>
  </si>
  <si>
    <t>Flat-rolled products of stainless steel, of a width of &gt;= 600 mm, not further worked than hot-rolled, not in coils, of a thickness of &gt; 10 mm</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</si>
  <si>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</si>
  <si>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</si>
  <si>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</si>
  <si>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</si>
  <si>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721922000080</t>
  </si>
  <si>
    <t>Flat-rolled products of stainless steel, of a width of &gt;= 600 mm, not further worked than hot-rolled, not in coils, of a thickness of &gt;= 4,75 mm and &lt;= 10 mm</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</si>
  <si>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</si>
  <si>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</si>
  <si>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</si>
  <si>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</si>
  <si>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</si>
  <si>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</si>
  <si>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</si>
  <si>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</si>
  <si>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</si>
  <si>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</si>
  <si>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721932000080</t>
  </si>
  <si>
    <t>Flat-rolled products of stainless steel, of a width of &gt;= 600 mm, not further worked than cold-rolled "cold-reduced", of a thickness of &gt;= 3 mm but &lt;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</si>
  <si>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</si>
  <si>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</si>
  <si>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</si>
  <si>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</si>
  <si>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721933000080</t>
  </si>
  <si>
    <t>Flat-rolled products of stainless steel, of a width of &gt;= 600 mm, not further worked than cold-rolled "cold-reduced", of a thickness of &gt; 1 mm but &lt; 3 mm</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</si>
  <si>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</si>
  <si>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</si>
  <si>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</si>
  <si>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</si>
  <si>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721934000080</t>
  </si>
  <si>
    <t>Flat-rolled products of stainless steel, of a width of &gt;= 600 mm, not further worked than cold-rolled "cold-reduced", of a thickness of &gt;= 0,5 mm but &lt;= 1 mm</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</si>
  <si>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</si>
  <si>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</si>
  <si>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</si>
  <si>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</si>
  <si>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721935000080</t>
  </si>
  <si>
    <t>Flat-rolled products of stainless steel, of a width of &gt;= 600 mm, not further worked than cold-rolled "cold-reduced", of a thickness of &lt; 0,5 mm</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</si>
  <si>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</si>
  <si>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</si>
  <si>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</si>
  <si>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</si>
  <si>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721990000080</t>
  </si>
  <si>
    <t>Flat-rolled products of stainless steel, of a width of &gt;= 600 mm, hot-rolled or cold-rolled "cold-reduced" and further worked</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</si>
  <si>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</si>
  <si>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</si>
  <si>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</si>
  <si>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</si>
  <si>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</si>
  <si>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</si>
  <si>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</si>
  <si>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</si>
  <si>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</si>
  <si>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</si>
  <si>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722020000080</t>
  </si>
  <si>
    <t>Flat-rolled products of stainless steel, of a width of &lt; 600 mm, not further worked than cold-rolled "cold-reduced"</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</si>
  <si>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</si>
  <si>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</si>
  <si>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</si>
  <si>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</si>
  <si>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</si>
  <si>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</si>
  <si>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</si>
  <si>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</si>
  <si>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</si>
  <si>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</si>
  <si>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</si>
  <si>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</si>
  <si>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722090000080</t>
  </si>
  <si>
    <t>Flat-rolled products of stainless steel, of a width of &lt; 600 mm, hot-rolled or cold-rolled "cold-reduced" and further worked</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</si>
  <si>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</si>
  <si>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</si>
  <si>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</si>
  <si>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</si>
  <si>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722100000080</t>
  </si>
  <si>
    <t>Bars and rods of stainless steel, hot-rolled, in irregularly wound coils</t>
  </si>
  <si>
    <t>722100100080</t>
  </si>
  <si>
    <t>Bars and rods of stainless steel, hot-rolled, in irregularly wound coils, containing by weight &gt;= 2,5% nickel</t>
  </si>
  <si>
    <t>722100900080</t>
  </si>
  <si>
    <t>Bars and rods of stainless steel, hot-rolled, in irregularly wound coils, containing by weight &lt; 2,5% nickel</t>
  </si>
  <si>
    <t>722200000080</t>
  </si>
  <si>
    <t>Other bars and rods of stainless steel; angles, shapes and sections of stainless steel, n.e.s.</t>
  </si>
  <si>
    <t>722211000080</t>
  </si>
  <si>
    <t>Bars and rods of stainless steel, only hot-rolled, only hot-drawn or only hot-extruded, of circular cross-section</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</si>
  <si>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</si>
  <si>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</si>
  <si>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</si>
  <si>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</si>
  <si>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</si>
  <si>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</si>
  <si>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</si>
  <si>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</si>
  <si>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722219000080</t>
  </si>
  <si>
    <t>Bars and rods of stainless steel, only hot-rolled, only hot-drawn or only extruded (excl. of circular cross-section)</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</si>
  <si>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</si>
  <si>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</si>
  <si>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</si>
  <si>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</si>
  <si>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722220000080</t>
  </si>
  <si>
    <t>Other bars and rods of stainless steel, not further worked than cold-formed or cold-finished</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</si>
  <si>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</si>
  <si>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</si>
  <si>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</si>
  <si>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</si>
  <si>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</si>
  <si>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</si>
  <si>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</si>
  <si>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</si>
  <si>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</si>
  <si>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</si>
  <si>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</si>
  <si>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</si>
  <si>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</si>
  <si>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</si>
  <si>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</si>
  <si>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</si>
  <si>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722230000080</t>
  </si>
  <si>
    <t>Other bars and rods of stainless steel, cold-formed or cold-finished and further worked, or not further worked than forged, or forged, or hot-formed by other means and further worked, n.e.s.</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</si>
  <si>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</si>
  <si>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</si>
  <si>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</si>
  <si>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</si>
  <si>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</si>
  <si>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</si>
  <si>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722240000080</t>
  </si>
  <si>
    <t>Angles, shapes and sections of stainless steel, n.e.s.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</si>
  <si>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</si>
  <si>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</si>
  <si>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</si>
  <si>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</si>
  <si>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</si>
  <si>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</si>
  <si>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722300000080</t>
  </si>
  <si>
    <t>Wire of stainless steel, in coils (excl. bars and rods)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</si>
  <si>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</si>
  <si>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</si>
  <si>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</si>
  <si>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</si>
  <si>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</si>
  <si>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</si>
  <si>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</si>
  <si>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</si>
  <si>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722400000080</t>
  </si>
  <si>
    <t>Steel, alloy, other than stainless, in ingots or other primary forms, semi-finished products of alloy steel other than stainless (excl. waste and scrap in ingot form, and products obtained by continuous casting)</t>
  </si>
  <si>
    <t>722410000080</t>
  </si>
  <si>
    <t>Steel, alloy, other than stainless, in ingots or other primary forms (excl. waste and scrap in ingot form, and products obtained by continuous casting)</t>
  </si>
  <si>
    <t>722410100080</t>
  </si>
  <si>
    <t>Ingots and other primary forms, of tool steel</t>
  </si>
  <si>
    <t>722410900080</t>
  </si>
  <si>
    <t>Steel, alloy, other than stainless, in ingots or other primary forms (excl. of tool steel, waste and scrap in ingot form and products obtained by continuous casting)</t>
  </si>
  <si>
    <t>722490000080</t>
  </si>
  <si>
    <t>Semi-finished products of alloy steel other than stainless</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</si>
  <si>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</si>
  <si>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</si>
  <si>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</si>
  <si>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</si>
  <si>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</si>
  <si>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</si>
  <si>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</si>
  <si>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</si>
  <si>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</si>
  <si>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</si>
  <si>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</si>
  <si>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</si>
  <si>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</si>
  <si>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</si>
  <si>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</si>
  <si>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</si>
  <si>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</si>
  <si>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</si>
  <si>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722500000080</t>
  </si>
  <si>
    <t>Flat-rolled products of alloy steel other than stainless, of a width of &gt;= 600 mm, hot-rolled or cold-rolled "cold-reduced"</t>
  </si>
  <si>
    <t>722511000080</t>
  </si>
  <si>
    <t>Flat-rolled products of silicon-electrical steel, of a width of &gt;= 600 mm, grain-oriented</t>
  </si>
  <si>
    <t>722519000080</t>
  </si>
  <si>
    <t>Flat-rolled products of silicon-electrical steel, of a width of &gt;= 600 mm, non-grain-oriented</t>
  </si>
  <si>
    <t>722519100080</t>
  </si>
  <si>
    <t>Flat-rolled products of silicon-electrical steel, of a width of &gt;= 600 mm, hot-rolled</t>
  </si>
  <si>
    <t>722519900080</t>
  </si>
  <si>
    <t>Flat-rolled products of silicon-electrical steel, of a width of &gt;= 600 mm, cold-rolled "cold-reduced", non-grain-oriented</t>
  </si>
  <si>
    <t>722530000080</t>
  </si>
  <si>
    <t>Flat-rolled products of alloy steel other than stainless, of a width of &gt;= 600 mm, not further worked than hot-rolled, in coils (excl. products of silicon-electrical steel)</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</si>
  <si>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</si>
  <si>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</si>
  <si>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</si>
  <si>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</si>
  <si>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</si>
  <si>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</si>
  <si>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722540000080</t>
  </si>
  <si>
    <t>Flat-rolled products of alloy steel other than stainless, of a width of &gt;= 600 mm, not further worked than hot-rolled, not in coils (excl. products of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</si>
  <si>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</si>
  <si>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</si>
  <si>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</si>
  <si>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</si>
  <si>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</si>
  <si>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</si>
  <si>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</si>
  <si>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</si>
  <si>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</si>
  <si>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</si>
  <si>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722550000080</t>
  </si>
  <si>
    <t>Flat-rolled products of alloy steel other than stainless, of a width of &gt;= 600 mm, not further worked than cold-rolled "cold-reduced" (excl. products of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</si>
  <si>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</si>
  <si>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</si>
  <si>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</si>
  <si>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</si>
  <si>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</si>
  <si>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</si>
  <si>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</si>
  <si>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</si>
  <si>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</si>
  <si>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</si>
  <si>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722600000080</t>
  </si>
  <si>
    <t>Flat-rolled products of alloy steel other than stainless, of a width of &lt; 600 mm, hot-rolled or cold-rolled "cold-reduced"</t>
  </si>
  <si>
    <t>722611000080</t>
  </si>
  <si>
    <t>Flat-rolled products of silicon-electrical steel, of a width of &lt; 600 mm, hot-rolled or cold-rolled "cold-reduced", grain-oriented</t>
  </si>
  <si>
    <t>722619000080</t>
  </si>
  <si>
    <t>Flat-rolled products of silicon-electrical steel, of a width of &lt; 600 mm, hot-rolled or cold-rolled "cold-reduced", not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</si>
  <si>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</si>
  <si>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</si>
  <si>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</si>
  <si>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</si>
  <si>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</si>
  <si>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</si>
  <si>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722691000080</t>
  </si>
  <si>
    <t>Flat-rolled products of alloy steel other than stainless, of a width of &lt; 600 mm, not further worked than hot-rolled (excl. products of high-speed steel or silicon-electrical steel)</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</si>
  <si>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</si>
  <si>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</si>
  <si>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</si>
  <si>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</si>
  <si>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</si>
  <si>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</si>
  <si>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</si>
  <si>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</si>
  <si>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722699000080</t>
  </si>
  <si>
    <t>Flat-rolled products of alloy steel other than stainless, of a width of &lt; 600 mm, hot-rolled or cold-rolled "cold-reduced" and further worked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</si>
  <si>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</si>
  <si>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</si>
  <si>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</si>
  <si>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</si>
  <si>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</si>
  <si>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</si>
  <si>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722700000080</t>
  </si>
  <si>
    <t>Bars and rods of alloy steel other than stainless, hot-rolled, in irregularly wound coils</t>
  </si>
  <si>
    <t>722710000080</t>
  </si>
  <si>
    <t>Bars and rods of high-speed steel, hot-rolled, in irregularly wound coils</t>
  </si>
  <si>
    <t>722720000080</t>
  </si>
  <si>
    <t>Bars and rods of silico-manganese steel, hot-rolled, in irregularly wound coils</t>
  </si>
  <si>
    <t>722790000080</t>
  </si>
  <si>
    <t>Bars and rods of alloy steel other than stainless, hot-rolled, in irregularly wound coils (excl. products of high-speed steel or silicon-electrical steel)</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</si>
  <si>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</si>
  <si>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</si>
  <si>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</si>
  <si>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</si>
  <si>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</si>
  <si>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</si>
  <si>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722800000080</t>
  </si>
  <si>
    <t>Other bars and rods of alloy steel other than stainless, angles, shapes and sections of alloy steel other than stainless, n.e.s.; hollow drill bars and rods, of alloy or non-alloy steel</t>
  </si>
  <si>
    <t>722810000080</t>
  </si>
  <si>
    <t>Bars and rods of high-speed steel (excl. semi-finished products, flat-rolled products and hot-rolled bars and rods in irregularly wound coils)</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</si>
  <si>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</si>
  <si>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</si>
  <si>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</si>
  <si>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</si>
  <si>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</si>
  <si>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</si>
  <si>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</si>
  <si>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Bars and rods of silico-manganese steel (excl.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</si>
  <si>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</si>
  <si>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</si>
  <si>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</si>
  <si>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</si>
  <si>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</si>
  <si>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</si>
  <si>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</si>
  <si>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</si>
  <si>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</si>
  <si>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</si>
  <si>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</si>
  <si>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</si>
  <si>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</si>
  <si>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</si>
  <si>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</si>
  <si>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</si>
  <si>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</si>
  <si>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</si>
  <si>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</si>
  <si>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</si>
  <si>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</si>
  <si>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</si>
  <si>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</si>
  <si>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Bars and rods of alloy steel other than stainless, not further worked than forged (excl. products of high-speed steel or silico-manganese steel,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</si>
  <si>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</si>
  <si>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</si>
  <si>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</si>
  <si>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</si>
  <si>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722850000080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</si>
  <si>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</si>
  <si>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</si>
  <si>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</si>
  <si>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</si>
  <si>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</si>
  <si>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</si>
  <si>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</si>
  <si>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</si>
  <si>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</si>
  <si>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</si>
  <si>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</si>
  <si>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</si>
  <si>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</si>
  <si>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</si>
  <si>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</si>
  <si>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</si>
  <si>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</si>
  <si>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</si>
  <si>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Angles, shapes and sections of alloy steel other than stainless, n.e.s.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</si>
  <si>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</si>
  <si>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</si>
  <si>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</si>
  <si>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</si>
  <si>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</si>
  <si>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</si>
  <si>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722900000080</t>
  </si>
  <si>
    <t>Wire of alloy steel other than stainless, in coils (excl. bars and rods)</t>
  </si>
  <si>
    <t>722920000080</t>
  </si>
  <si>
    <t>Wire of silico-manganese steel, in coils (excl. bars and rods)</t>
  </si>
  <si>
    <t>722990000080</t>
  </si>
  <si>
    <t>Wire of alloy steel other than stainless, in coils (excl. bars and rods and wire of silico-manganese steel)</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</si>
  <si>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</si>
  <si>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</si>
  <si>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</si>
  <si>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</si>
  <si>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</si>
  <si>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</si>
  <si>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730100000080</t>
  </si>
  <si>
    <t>Sheet piling of iron or steel, whether or not drilled, punched or made from assembled elements; welded angles, shapes and sections, of iron or steel</t>
  </si>
  <si>
    <t>730110000080</t>
  </si>
  <si>
    <t>Sheet piling of iron or steel, whether or not drilled, punched or made from assembled elements</t>
  </si>
  <si>
    <t>730120000080</t>
  </si>
  <si>
    <t>Angles, shapes and sections, of iron or steel, welded</t>
  </si>
  <si>
    <t>730200000080</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</si>
  <si>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</si>
  <si>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</si>
  <si>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Rails of iron or steel, for railway or tramway track (excl. check-rails)</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</si>
  <si>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</si>
  <si>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</si>
  <si>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</si>
  <si>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</si>
  <si>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</si>
  <si>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</si>
  <si>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</si>
  <si>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</si>
  <si>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</si>
  <si>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</si>
  <si>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</si>
  <si>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</si>
  <si>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</si>
  <si>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</si>
  <si>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</si>
  <si>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</si>
  <si>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</si>
  <si>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</si>
  <si>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</si>
  <si>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Tubes, pipes and hollow profiles, of cast iron</t>
  </si>
  <si>
    <t>730300100080</t>
  </si>
  <si>
    <t>Tubes and pipes of a kind used in pressure systems, of cast iron</t>
  </si>
  <si>
    <t>730300900080</t>
  </si>
  <si>
    <t>Tubes, pipes and hollow profiles, of cast iron (excl. products of a kind used in pressure systems)</t>
  </si>
  <si>
    <t>730400000080</t>
  </si>
  <si>
    <t>Tubes, pipes and hollow profiles, seamless, of iron or steel (excl. products of cast iron)</t>
  </si>
  <si>
    <t>730411000080</t>
  </si>
  <si>
    <t>Line pipe of a kind used for oil or gas pipelines, seamless, of stainless steel</t>
  </si>
  <si>
    <t>730419000080</t>
  </si>
  <si>
    <t>Line pipe of a kind used for oil or gas pipelines, seamless, of iron or steel (excl. products of stainless steel or of cast iron)</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</si>
  <si>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</si>
  <si>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</si>
  <si>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</si>
  <si>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</si>
  <si>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</si>
  <si>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</si>
  <si>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</si>
  <si>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</si>
  <si>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</si>
  <si>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</si>
  <si>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</si>
  <si>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</si>
  <si>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730429000080</t>
  </si>
  <si>
    <t>Casing and tubing, seamless, of iron or steel, of a kind used in drilling for oil or gas (excl. products of cast iron)</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</si>
  <si>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</si>
  <si>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</si>
  <si>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</si>
  <si>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</si>
  <si>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</si>
  <si>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</si>
  <si>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730431000080</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</si>
  <si>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</si>
  <si>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</si>
  <si>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</si>
  <si>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</si>
  <si>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</si>
  <si>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</si>
  <si>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</si>
  <si>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</si>
  <si>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</si>
  <si>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</si>
  <si>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</si>
  <si>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</si>
  <si>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</si>
  <si>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</si>
  <si>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</si>
  <si>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</si>
  <si>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</si>
  <si>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730449000080</t>
  </si>
  <si>
    <t>Tubes, pipes and hollow profiles, seamless, of circular cross-section, of stainless steel, not cold-drawn or cold-rolled "cold-reduced" (excl. line pipe of a kind used for oil or gas pipelines or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</si>
  <si>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</si>
  <si>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</si>
  <si>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</si>
  <si>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</si>
  <si>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</si>
  <si>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</si>
  <si>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</si>
  <si>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</si>
  <si>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</si>
  <si>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</si>
  <si>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</si>
  <si>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</si>
  <si>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</si>
  <si>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</si>
  <si>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</si>
  <si>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</si>
  <si>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</si>
  <si>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</si>
  <si>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</si>
  <si>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</si>
  <si>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</si>
  <si>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</si>
  <si>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</si>
  <si>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</si>
  <si>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</si>
  <si>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</si>
  <si>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730500000080</t>
  </si>
  <si>
    <t>Tubes and pipes, having circular cross-sections and an external diameter of &gt; 406,4 mm, of flat-rolled products of iron or steel "e.g., welded, riveted or similarly closed"</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</si>
  <si>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</si>
  <si>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</si>
  <si>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</si>
  <si>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</si>
  <si>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</si>
  <si>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</si>
  <si>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</si>
  <si>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</si>
  <si>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</si>
  <si>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</si>
  <si>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</si>
  <si>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</si>
  <si>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</si>
  <si>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</si>
  <si>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</si>
  <si>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</si>
  <si>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</si>
  <si>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</si>
  <si>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</si>
  <si>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</si>
  <si>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</si>
  <si>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</si>
  <si>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</si>
  <si>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</si>
  <si>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730630000080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</si>
  <si>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</si>
  <si>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</si>
  <si>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</si>
  <si>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</si>
  <si>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</si>
  <si>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</si>
  <si>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</si>
  <si>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</si>
  <si>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</si>
  <si>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</si>
  <si>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</si>
  <si>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</si>
  <si>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</si>
  <si>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</si>
  <si>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</si>
  <si>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</si>
  <si>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</si>
  <si>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</si>
  <si>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</si>
  <si>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</si>
  <si>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</si>
  <si>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</si>
  <si>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</si>
  <si>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</si>
  <si>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</si>
  <si>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</si>
  <si>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</si>
  <si>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</si>
  <si>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</si>
  <si>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</si>
  <si>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Tubes and pipes and hollow profiles, welded, of square or rectangular cross-section, of iron or steel</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</si>
  <si>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</si>
  <si>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</si>
  <si>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</si>
  <si>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</si>
  <si>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</si>
  <si>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</si>
  <si>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730669000080</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</si>
  <si>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</si>
  <si>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</si>
  <si>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</si>
  <si>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</si>
  <si>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</si>
  <si>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</si>
  <si>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</si>
  <si>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</si>
  <si>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Tube or pipe fittings "e.g. couplings, elbows, sleeves", of iron or steel</t>
  </si>
  <si>
    <t>730711000080</t>
  </si>
  <si>
    <t>Tube or pipe fittings of non-malleable cast iron</t>
  </si>
  <si>
    <t>730711100080</t>
  </si>
  <si>
    <t>Tube or pipe fittings of non-malleable cast iron, of a kind used in pressure systems</t>
  </si>
  <si>
    <t>730711900080</t>
  </si>
  <si>
    <t>Tube or pipe fittings of non-malleable cast iron (excl. products of a kind used in pressure systems)</t>
  </si>
  <si>
    <t>730719000080</t>
  </si>
  <si>
    <t>Cast tube or pipe fittings of iron or steel (excl. products of non-malleable cast iron)</t>
  </si>
  <si>
    <t>730719100080</t>
  </si>
  <si>
    <t>Tube or pipe fittings of cast iron (excl. of non-malleable)</t>
  </si>
  <si>
    <t>730719900080</t>
  </si>
  <si>
    <t>Cast tube or pipe fittings of steel</t>
  </si>
  <si>
    <t>730721000080</t>
  </si>
  <si>
    <t>Flanges of stainless steel (excl. cast products)</t>
  </si>
  <si>
    <t>730722000080</t>
  </si>
  <si>
    <t>Threaded elbows, bends and sleeves of stainless steel (excl. cast products)</t>
  </si>
  <si>
    <t>730722100080</t>
  </si>
  <si>
    <t>Sleeves, of stainless steel, threaded (excl. cast products)</t>
  </si>
  <si>
    <t>730722900080</t>
  </si>
  <si>
    <t>Elbows and bends, of stainless steel, threaded (excl. cast products)</t>
  </si>
  <si>
    <t>730723000080</t>
  </si>
  <si>
    <t>Butt welding tube or pipe fittings of stainless steel (excl. cast products)</t>
  </si>
  <si>
    <t>730723100080</t>
  </si>
  <si>
    <t>Butt welding elbows and bends of stainless steel (excl. cast products)</t>
  </si>
  <si>
    <t>730723900080</t>
  </si>
  <si>
    <t>Butt welding tube or pipe fittings of stainless steel (excl. cast products and elbows and bends)</t>
  </si>
  <si>
    <t>730729000080</t>
  </si>
  <si>
    <t>Tube or pipe fittings of stainless steel (excl. cast products, flanges, threaded elbows, bends and sleeves and butt weldings fittings)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</si>
  <si>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</si>
  <si>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</si>
  <si>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</si>
  <si>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</si>
  <si>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</si>
  <si>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</si>
  <si>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730792000080</t>
  </si>
  <si>
    <t>Threaded elbows, bends and sleeves, of stainless steel (excl. cast or stainless products)</t>
  </si>
  <si>
    <t>730792100080</t>
  </si>
  <si>
    <t>Sleeves of iron or steel, threaded (excl. cast or of stainless steel)</t>
  </si>
  <si>
    <t>730792900080</t>
  </si>
  <si>
    <t>Elbows and bends, of iron or steel, threaded (excl. cast or of stainless steel)</t>
  </si>
  <si>
    <t>730793000080</t>
  </si>
  <si>
    <t>Butt welding fittings of iron or steel (excl. cast iron or stainless steel products, and flanges)</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</si>
  <si>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</si>
  <si>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</si>
  <si>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</si>
  <si>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</si>
  <si>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</si>
  <si>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</si>
  <si>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</si>
  <si>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</si>
  <si>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730799000080</t>
  </si>
  <si>
    <t>Tube or pipe fittings, of iron or steel (excl. cast iron or stainless steel products; flanges; threaded elbows, bends and sleeves; butt welding fittings)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</si>
  <si>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</si>
  <si>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</si>
  <si>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</si>
  <si>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</si>
  <si>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730800000080</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</si>
  <si>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</si>
  <si>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</si>
  <si>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</si>
  <si>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</si>
  <si>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</si>
  <si>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</si>
  <si>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</si>
  <si>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</si>
  <si>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</si>
  <si>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730890000080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</si>
  <si>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</si>
  <si>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</si>
  <si>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</si>
  <si>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</si>
  <si>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</si>
  <si>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</si>
  <si>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</si>
  <si>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</si>
  <si>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</si>
  <si>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</si>
  <si>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</si>
  <si>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</si>
  <si>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</si>
  <si>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</si>
  <si>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</si>
  <si>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</si>
  <si>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</si>
  <si>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</si>
  <si>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</si>
  <si>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</si>
  <si>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</si>
  <si>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</si>
  <si>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Tanks, casks, drums, cans, boxes and similar containers, of iron or steel, for any material, of a capacity of &gt;= 50 l but &lt;= 300 l, n.e.s. (excl. containers for compressed or liquefied gas, or containers fitted with mechanical or thermal equipment)</t>
  </si>
  <si>
    <t>731021000080</t>
  </si>
  <si>
    <t>Cans of iron or steel, of a capacity of &lt; 50 l, which are to be closed by soldering or crimping (excl. containers for compressed or liquefied gas)</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</si>
  <si>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</si>
  <si>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</si>
  <si>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</si>
  <si>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</si>
  <si>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</si>
  <si>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</si>
  <si>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</si>
  <si>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</si>
  <si>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731029000080</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</si>
  <si>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</si>
  <si>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</si>
  <si>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</si>
  <si>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</si>
  <si>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</si>
  <si>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</si>
  <si>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Containers of iron or steel, for compressed or liquefied gas (excl. containers specifically constructed or equipped for one or more types of transport)</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</si>
  <si>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</si>
  <si>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</si>
  <si>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</si>
  <si>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</si>
  <si>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</si>
  <si>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</si>
  <si>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</si>
  <si>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</si>
  <si>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</si>
  <si>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</si>
  <si>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</si>
  <si>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</si>
  <si>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731800000080</t>
  </si>
  <si>
    <t>Screws, bolts, nuts, coach screws, screw hooks, rivets, cotters, cotter pins, washers, incl. spring washers, and similar articles, of iron or steel (excl. lag screws, stoppers, plugs and the like, threaded)</t>
  </si>
  <si>
    <t>731811000080</t>
  </si>
  <si>
    <t>Coach screws of iron or steel</t>
  </si>
  <si>
    <t>731812000080</t>
  </si>
  <si>
    <t>Wood screws of iron or steel (excl. coach screws)</t>
  </si>
  <si>
    <t>731812100080</t>
  </si>
  <si>
    <t>Wood screws of stainless steel (excl. coach screws)</t>
  </si>
  <si>
    <t>731812900080</t>
  </si>
  <si>
    <t>Wood screws of iron or steel other than stainless (excl. coach screws)</t>
  </si>
  <si>
    <t>731813000080</t>
  </si>
  <si>
    <t>Screw hooks and screw rings, of iron or steel</t>
  </si>
  <si>
    <t>731814000080</t>
  </si>
  <si>
    <t>Self-tapping screws, of iron or steel (excl. wood screws)</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</si>
  <si>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</si>
  <si>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</si>
  <si>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</si>
  <si>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</si>
  <si>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</si>
  <si>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</si>
  <si>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731815000080</t>
  </si>
  <si>
    <t>Threaded screws and bolts, of iron or steel, whether or not with their nuts and washers (excl. coach screws and other wood screws, screw hooks and screw rings, self-tapping screws, lag screws, stoppers, plugs and the like, threaded)</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</si>
  <si>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</si>
  <si>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</si>
  <si>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</si>
  <si>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</si>
  <si>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</si>
  <si>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</si>
  <si>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</si>
  <si>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</si>
  <si>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</si>
  <si>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</si>
  <si>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</si>
  <si>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</si>
  <si>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</si>
  <si>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</si>
  <si>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</si>
  <si>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</si>
  <si>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</si>
  <si>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</si>
  <si>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</si>
  <si>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</si>
  <si>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</si>
  <si>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</si>
  <si>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</si>
  <si>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</si>
  <si>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</si>
  <si>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Nuts of iron or steel</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</si>
  <si>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</si>
  <si>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</si>
  <si>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</si>
  <si>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</si>
  <si>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</si>
  <si>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</si>
  <si>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</si>
  <si>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</si>
  <si>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</si>
  <si>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</si>
  <si>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</si>
  <si>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</si>
  <si>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</si>
  <si>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</si>
  <si>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</si>
  <si>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</si>
  <si>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</si>
  <si>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</si>
  <si>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</si>
  <si>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</si>
  <si>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</si>
  <si>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</si>
  <si>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</si>
  <si>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</si>
  <si>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732600000080</t>
  </si>
  <si>
    <t>Articles of iron or steel, n.e.s. (excl. cast articles)</t>
  </si>
  <si>
    <t>732611000080</t>
  </si>
  <si>
    <t>Grinding balls and similar articles for mills, of iron or steel, forged or stamped, but not further worked</t>
  </si>
  <si>
    <t>732619000080</t>
  </si>
  <si>
    <t>Articles of iron or steel, forged or stamped, but not further worked, n.e.s. (excl. grinding balls and similar articles for mills)</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</si>
  <si>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</si>
  <si>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</si>
  <si>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</si>
  <si>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</si>
  <si>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</si>
  <si>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</si>
  <si>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732690000080</t>
  </si>
  <si>
    <t>Articles of iron or steel, n.e.s. (excl. cast articles or articles of iron or steel wire)</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</si>
  <si>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</si>
  <si>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</si>
  <si>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</si>
  <si>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</si>
  <si>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</si>
  <si>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</si>
  <si>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</si>
  <si>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</si>
  <si>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</si>
  <si>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</si>
  <si>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</si>
  <si>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</si>
  <si>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</si>
  <si>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</si>
  <si>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</si>
  <si>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</si>
  <si>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760100000080</t>
  </si>
  <si>
    <t>Unwrought aluminium</t>
  </si>
  <si>
    <t>760110000080</t>
  </si>
  <si>
    <t>Aluminium, not alloyed, unwrought</t>
  </si>
  <si>
    <t>760120000080</t>
  </si>
  <si>
    <t>Unwrought aluminium alloys</t>
  </si>
  <si>
    <t>760120200080</t>
  </si>
  <si>
    <t>Unwrought aluminium alloys in the form of slabs or billets</t>
  </si>
  <si>
    <t>760120800080</t>
  </si>
  <si>
    <t>Unwrought aluminium alloys (excl. slabs and billets)</t>
  </si>
  <si>
    <t>760300000080</t>
  </si>
  <si>
    <t>Powder and flakes, of aluminium (excl. pellets of aluminium, and spangles)</t>
  </si>
  <si>
    <t>760310000080</t>
  </si>
  <si>
    <t>Powders of aluminium, of non-lamellar structure (excl. pellets of aluminium)</t>
  </si>
  <si>
    <t>760320000080</t>
  </si>
  <si>
    <t>Powders of aluminium, of lamellar structure, and flakes of aluminium (excl. pellets of aluminium, and spangles)</t>
  </si>
  <si>
    <t>760400000080</t>
  </si>
  <si>
    <t>Bars, rods and profiles, of aluminium, n.e.s.</t>
  </si>
  <si>
    <t>760410000080</t>
  </si>
  <si>
    <t>Bars, rods and profiles, of non-alloy aluminium, n.e.s.</t>
  </si>
  <si>
    <t>760410100080</t>
  </si>
  <si>
    <t>Bars, rods and profiles, of non-alloy aluminium</t>
  </si>
  <si>
    <t>760410900080</t>
  </si>
  <si>
    <t>Profiles of non-alloy aluminium, n.e.s.</t>
  </si>
  <si>
    <t>760421000080</t>
  </si>
  <si>
    <t>Hollow profiles of aluminium alloys, n.e.s.</t>
  </si>
  <si>
    <t>760429000080</t>
  </si>
  <si>
    <t>Bars, rods and solid profiles, of aluminium alloys, n.e.s.</t>
  </si>
  <si>
    <t>760429100080</t>
  </si>
  <si>
    <t>Bars and rods of aluminium alloys</t>
  </si>
  <si>
    <t>760429900080</t>
  </si>
  <si>
    <t>Solid profiles, of aluminium alloys, n.e.s.</t>
  </si>
  <si>
    <t>760500000080</t>
  </si>
  <si>
    <t>Aluminium wire (excl. stranded wire, cables, plaited bands and the like and other articles of heading 7614, electrically insulated wires, and strings for musical instruments)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</si>
  <si>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</si>
  <si>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</si>
  <si>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</si>
  <si>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</si>
  <si>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</si>
  <si>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</si>
  <si>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</si>
  <si>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</si>
  <si>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760600000080</t>
  </si>
  <si>
    <t>Plates, sheets and strip, of aluminium, of a thickness of &gt; 0,2 mm (excl. expanded plates, sheets and strip)</t>
  </si>
  <si>
    <t>760611000080</t>
  </si>
  <si>
    <t>Plates, sheets and strip, of non-alloy aluminium, of a thickness of &gt; 0,2 mm, square or rectangular (excl. expanded plates, sheets and strip)</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</si>
  <si>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</si>
  <si>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</si>
  <si>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</si>
  <si>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</si>
  <si>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</si>
  <si>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</si>
  <si>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</si>
  <si>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</si>
  <si>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</si>
  <si>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</si>
  <si>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760612000080</t>
  </si>
  <si>
    <t>Plates, sheets and strip, of aluminium alloys, of a thickness of &gt; 0,2 mm, square or rectangular (excl. expanded plates, sheets and strip)</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</si>
  <si>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</si>
  <si>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</si>
  <si>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</si>
  <si>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</si>
  <si>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</si>
  <si>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</si>
  <si>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</si>
  <si>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</si>
  <si>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</si>
  <si>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</si>
  <si>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</si>
  <si>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</si>
  <si>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</si>
  <si>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</si>
  <si>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</si>
  <si>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</si>
  <si>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</si>
  <si>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</si>
  <si>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760700000080</t>
  </si>
  <si>
    <t>Aluminium foil, "whether or not printed or backed with paper, paperboard, plastics or similar backing materials", of a thickness "excl. any backing" of &lt;= 0,2 mm (excl. stamping foils of heading 3212, christmas tree decorating material)</t>
  </si>
  <si>
    <t>760711000080</t>
  </si>
  <si>
    <t>Aluminium foil, not backed, rolled but not further worked, of a thickness of &lt;= 0,2 mm (excl. stamping foils of heading 3212, and foil made up as christmas tree decorating material)</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</si>
  <si>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</si>
  <si>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</si>
  <si>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</si>
  <si>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</si>
  <si>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</si>
  <si>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</si>
  <si>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760719000080</t>
  </si>
  <si>
    <t>Aluminium foil, not backed, rolled and further worked, of a thickness of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</si>
  <si>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</si>
  <si>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</si>
  <si>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</si>
  <si>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</si>
  <si>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760720000080</t>
  </si>
  <si>
    <t>Aluminium foil, backed, of a thickness (excl. any backing) of &lt;=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</si>
  <si>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</si>
  <si>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</si>
  <si>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</si>
  <si>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</si>
  <si>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</si>
  <si>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</si>
  <si>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760800000080</t>
  </si>
  <si>
    <t>Aluminium tubes and pipes (excl. hollow profiles)</t>
  </si>
  <si>
    <t>760810000080</t>
  </si>
  <si>
    <t>Tubes and pipes of non-alloy aluminium (excl. hollow profiles)</t>
  </si>
  <si>
    <t>760820000080</t>
  </si>
  <si>
    <t>Tubes and pipes of aluminium alloys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</si>
  <si>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</si>
  <si>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</si>
  <si>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</si>
  <si>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</si>
  <si>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</si>
  <si>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</si>
  <si>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</si>
  <si>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</si>
  <si>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761000000080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</si>
  <si>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</si>
  <si>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</si>
  <si>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Doors, windows and their frames and thresholds for door, of aluminium (excl. door furniture)</t>
  </si>
  <si>
    <t>761090000080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</si>
  <si>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</si>
  <si>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</si>
  <si>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</si>
  <si>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</si>
  <si>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</si>
  <si>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</si>
  <si>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</si>
  <si>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</si>
  <si>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</si>
  <si>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</si>
  <si>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Collapsible tubular containers, of aluminium</t>
  </si>
  <si>
    <t>761290000080</t>
  </si>
  <si>
    <t>Casks, drums, cans, boxes and similar containers, incl. rigid tubular containers, of aluminium, for any material (other than compressed or liquefied gas), of a capacity of &lt;= 300 l, n.e.s.</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</si>
  <si>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</si>
  <si>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</si>
  <si>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</si>
  <si>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</si>
  <si>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</si>
  <si>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</si>
  <si>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</si>
  <si>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</si>
  <si>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761400000080</t>
  </si>
  <si>
    <t>Stranded wire, cables, plaited bands and the like, of aluminium (excl. such products electrically insulated)</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</si>
  <si>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</si>
  <si>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</si>
  <si>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</si>
  <si>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</si>
  <si>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761600000080</t>
  </si>
  <si>
    <t>Articles of aluminium, n.e.s.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</si>
  <si>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</si>
  <si>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</si>
  <si>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</si>
  <si>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</si>
  <si>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761699000080</t>
  </si>
  <si>
    <t>761699100080</t>
  </si>
  <si>
    <t>Articles of aluminium, cast, n.e.s.</t>
  </si>
  <si>
    <t>761699900080</t>
  </si>
  <si>
    <t>Articles of aluminium, uncast, n.e.s.</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</si>
  <si>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</si>
  <si>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</si>
  <si>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Used language version</t>
  </si>
  <si>
    <t>English Version (Original)</t>
  </si>
  <si>
    <t>Language 1</t>
  </si>
  <si>
    <t>Language 2</t>
  </si>
  <si>
    <t>Language 3</t>
  </si>
  <si>
    <t>Language 4</t>
  </si>
  <si>
    <t>Language 5</t>
  </si>
  <si>
    <t>Language 6</t>
  </si>
  <si>
    <t>Language 7</t>
  </si>
  <si>
    <t>Language 8</t>
  </si>
  <si>
    <t>Language 9</t>
  </si>
  <si>
    <t>Language 10</t>
  </si>
  <si>
    <t>Version history</t>
  </si>
  <si>
    <t>Sheet "Version history"</t>
  </si>
  <si>
    <t>Version</t>
  </si>
  <si>
    <t>Date</t>
  </si>
  <si>
    <t>Description</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</si>
  <si>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</si>
  <si>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</si>
  <si>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</si>
  <si>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</si>
  <si>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</si>
  <si>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</si>
  <si>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</si>
  <si>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</si>
  <si>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</si>
  <si>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</si>
  <si>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</si>
  <si>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</si>
  <si>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</si>
  <si>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</si>
  <si>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</si>
  <si>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General information</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</si>
  <si>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</si>
  <si>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</si>
  <si>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</si>
  <si>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</si>
  <si>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</si>
  <si>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</si>
  <si>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</si>
  <si>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2nd published version of the CBAM template, version of 23 October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</si>
  <si>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</si>
  <si>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</si>
  <si>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</si>
  <si>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</si>
  <si>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</si>
  <si>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</si>
  <si>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</si>
  <si>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</si>
  <si>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</si>
  <si>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</si>
  <si>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</si>
  <si>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</si>
  <si>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</si>
  <si>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</si>
  <si>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</si>
  <si>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</si>
  <si>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</si>
  <si>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</si>
  <si>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</si>
  <si>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</si>
  <si>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</si>
  <si>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</si>
  <si>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</si>
  <si>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</si>
  <si>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</si>
  <si>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</si>
  <si>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</si>
  <si>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EU-Legislation:</t>
  </si>
  <si>
    <t>http://eur-lex.europa.eu/en/index.htm</t>
  </si>
  <si>
    <t>InstData</t>
  </si>
  <si>
    <t xml:space="preserve">Sheet "A_InstData" - General information, production processes and purchased precursors </t>
  </si>
  <si>
    <t>Errors</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</si>
  <si>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</si>
  <si>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</si>
  <si>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</si>
  <si>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</si>
  <si>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</si>
  <si>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</si>
  <si>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</si>
  <si>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Post code:</t>
  </si>
  <si>
    <t>P.O. Box:</t>
  </si>
  <si>
    <t>City:</t>
  </si>
  <si>
    <t>Name of authorized representative:</t>
  </si>
  <si>
    <t>Email:</t>
  </si>
  <si>
    <t>Telephone:</t>
  </si>
  <si>
    <t>Verifier of the report – only if available and not required during transitional period</t>
  </si>
  <si>
    <t>Verifier</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</si>
  <si>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</si>
  <si>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</si>
  <si>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</si>
  <si>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</si>
  <si>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</si>
  <si>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</si>
  <si>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</si>
  <si>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</si>
  <si>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</si>
  <si>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</si>
  <si>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</si>
  <si>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</si>
  <si>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</si>
  <si>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</si>
  <si>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Goods &amp; precursors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</si>
  <si>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</si>
  <si>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</si>
  <si>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</si>
  <si>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Route</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</si>
  <si>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</si>
  <si>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</si>
  <si>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</si>
  <si>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</si>
  <si>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</si>
  <si>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</si>
  <si>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</si>
  <si>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</si>
  <si>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</si>
  <si>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</si>
  <si>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</si>
  <si>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Source streams</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</si>
  <si>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</si>
  <si>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</si>
  <si>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</si>
  <si>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</si>
  <si>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</si>
  <si>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</si>
  <si>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</si>
  <si>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</si>
  <si>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</si>
  <si>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</si>
  <si>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Emission factor (EF)</t>
  </si>
  <si>
    <t>EF Unit</t>
  </si>
  <si>
    <t>Carbon content</t>
  </si>
  <si>
    <t>C-Content Unit</t>
  </si>
  <si>
    <t>Oxidation factor (OxF)</t>
  </si>
  <si>
    <t>OxF Unit</t>
  </si>
  <si>
    <t>Conversion factor (ConvF)</t>
  </si>
  <si>
    <t>ConvF Unit</t>
  </si>
  <si>
    <t>Biomass content (BioC)</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</si>
  <si>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</si>
  <si>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</si>
  <si>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</si>
  <si>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</si>
  <si>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</si>
  <si>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</si>
  <si>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</si>
  <si>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</si>
  <si>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</si>
  <si>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</si>
  <si>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</si>
  <si>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</si>
  <si>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</si>
  <si>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</si>
  <si>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</si>
  <si>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</si>
  <si>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</si>
  <si>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</si>
  <si>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</si>
  <si>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</si>
  <si>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</si>
  <si>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</si>
  <si>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</si>
  <si>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</si>
  <si>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</si>
  <si>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</si>
  <si>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</si>
  <si>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</si>
  <si>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</si>
  <si>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</si>
  <si>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</si>
  <si>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</si>
  <si>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</si>
  <si>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</si>
  <si>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</si>
  <si>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</si>
  <si>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GJ/t</t>
  </si>
  <si>
    <t>tCO2/TJ</t>
  </si>
  <si>
    <t>Ex.2</t>
  </si>
  <si>
    <t>Process Emissions</t>
  </si>
  <si>
    <t>Raw meal for clinker</t>
  </si>
  <si>
    <t>tCO2/t</t>
  </si>
  <si>
    <t>Ex.3</t>
  </si>
  <si>
    <t>Mass balance</t>
  </si>
  <si>
    <t>Steel</t>
  </si>
  <si>
    <t>tC/t</t>
  </si>
  <si>
    <t>Process</t>
  </si>
  <si>
    <t>Mass Balance</t>
  </si>
  <si>
    <t>OxF</t>
  </si>
  <si>
    <t>ConvF</t>
  </si>
  <si>
    <t>PFC Emissions</t>
  </si>
  <si>
    <t>Type of anode</t>
  </si>
  <si>
    <t>Method A</t>
  </si>
  <si>
    <t>Method B</t>
  </si>
  <si>
    <t>Ex.</t>
  </si>
  <si>
    <t>Overvoltage method</t>
  </si>
  <si>
    <t>Centre Worked Pre-Bake (CWPB)</t>
  </si>
  <si>
    <t>CF4</t>
  </si>
  <si>
    <t>C2F6</t>
  </si>
  <si>
    <t>Emissions Sources (Measurement-Based Approaches)</t>
  </si>
  <si>
    <t>Emission sources</t>
  </si>
  <si>
    <t>Type of GHG</t>
  </si>
  <si>
    <t>Biomass fraction</t>
  </si>
  <si>
    <t>CO2 transfer</t>
  </si>
  <si>
    <t>Energy &amp; Emissions</t>
  </si>
  <si>
    <t>Sheet "C_Emissions&amp;Energy" - Installation-level GHG emissions and energy consumption</t>
  </si>
  <si>
    <t>Values</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</si>
  <si>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</si>
  <si>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</si>
  <si>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</si>
  <si>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</si>
  <si>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</si>
  <si>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</si>
  <si>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</si>
  <si>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</si>
  <si>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</si>
  <si>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</si>
  <si>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</si>
  <si>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</si>
  <si>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</si>
  <si>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</si>
  <si>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</si>
  <si>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</si>
  <si>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</si>
  <si>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</si>
  <si>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</si>
  <si>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</si>
  <si>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</si>
  <si>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</si>
  <si>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</si>
  <si>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</si>
  <si>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</si>
  <si>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</si>
  <si>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</si>
  <si>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</si>
  <si>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</si>
  <si>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</si>
  <si>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</si>
  <si>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</si>
  <si>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</si>
  <si>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</si>
  <si>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</si>
  <si>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</si>
  <si>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</si>
  <si>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</si>
  <si>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</si>
  <si>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</si>
  <si>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</si>
  <si>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</si>
  <si>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</si>
  <si>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</si>
  <si>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</si>
  <si>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</si>
  <si>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</si>
  <si>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</si>
  <si>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</si>
  <si>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</si>
  <si>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</si>
  <si>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</si>
  <si>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</si>
  <si>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</si>
  <si>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</si>
  <si>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</si>
  <si>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</si>
  <si>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</si>
  <si>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</si>
  <si>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</si>
  <si>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</si>
  <si>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</si>
  <si>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</si>
  <si>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</si>
  <si>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</si>
  <si>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</si>
  <si>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</si>
  <si>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</si>
  <si>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</si>
  <si>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</si>
  <si>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</si>
  <si>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</si>
  <si>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</si>
  <si>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</si>
  <si>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</si>
  <si>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</si>
  <si>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</si>
  <si>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</si>
  <si>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</si>
  <si>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</si>
  <si>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</si>
  <si>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</si>
  <si>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</si>
  <si>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</si>
  <si>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</si>
  <si>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</si>
  <si>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</si>
  <si>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</si>
  <si>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</si>
  <si>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</si>
  <si>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</si>
  <si>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</si>
  <si>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</si>
  <si>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</si>
  <si>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</si>
  <si>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</si>
  <si>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</si>
  <si>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</si>
  <si>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</si>
  <si>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</si>
  <si>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</si>
  <si>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</si>
  <si>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</si>
  <si>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</si>
  <si>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</si>
  <si>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</si>
  <si>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</si>
  <si>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</si>
  <si>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</si>
  <si>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</si>
  <si>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</si>
  <si>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</si>
  <si>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</si>
  <si>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</si>
  <si>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</si>
  <si>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</si>
  <si>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</si>
  <si>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</si>
  <si>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Tool for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</si>
  <si>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</si>
  <si>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</si>
  <si>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</si>
  <si>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</si>
  <si>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</si>
  <si>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</si>
  <si>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Total (direct + indirect) specific embedded emissions of the production process, i.e. including any embedded emissions from any precursors consumed in the process.</t>
  </si>
  <si>
    <t>Share of emissions covered by the carbon price</t>
  </si>
  <si>
    <t>Carbon price (CP) due</t>
  </si>
  <si>
    <t>Covered SEE</t>
  </si>
  <si>
    <t>CP due (per t or MWh)</t>
  </si>
  <si>
    <t>Rebate (per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</si>
  <si>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</si>
  <si>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</si>
  <si>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</si>
  <si>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</si>
  <si>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</si>
  <si>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</si>
  <si>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</si>
  <si>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</si>
  <si>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</si>
  <si>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</si>
  <si>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</si>
  <si>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</si>
  <si>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</si>
  <si>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</si>
  <si>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</si>
  <si>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</si>
  <si>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</si>
  <si>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</si>
  <si>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</si>
  <si>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</si>
  <si>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</si>
  <si>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</si>
  <si>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</si>
  <si>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</si>
  <si>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</si>
  <si>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</si>
  <si>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</si>
  <si>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</si>
  <si>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</si>
  <si>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</si>
  <si>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</si>
  <si>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</si>
  <si>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</si>
  <si>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</si>
  <si>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</si>
  <si>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</si>
  <si>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</si>
  <si>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</si>
  <si>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</si>
  <si>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</si>
  <si>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</si>
  <si>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</si>
  <si>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</si>
  <si>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</si>
  <si>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</si>
  <si>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</si>
  <si>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</si>
  <si>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</si>
  <si>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</si>
  <si>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</si>
  <si>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</si>
  <si>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</si>
  <si>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</si>
  <si>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</si>
  <si>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</si>
  <si>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</si>
  <si>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</si>
  <si>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</si>
  <si>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</si>
  <si>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a)</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</si>
  <si>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</si>
  <si>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</si>
  <si>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</si>
  <si>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b)</t>
  </si>
  <si>
    <t>Production for the market</t>
  </si>
  <si>
    <t>Please provide here the total amount of goods that are placed on the market (any market, not only the European Union) and not further processed into goods within another production process of the installation.</t>
  </si>
  <si>
    <t>c)</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</si>
  <si>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</si>
  <si>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</si>
  <si>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d)</t>
  </si>
  <si>
    <t>Consumed for non-CBAM goods</t>
  </si>
  <si>
    <t>Please provide here the total amount of goods that are consumed in production processes within the installation which produce goods that are not covered by the scope of the CBAM.</t>
  </si>
  <si>
    <t>e)</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</si>
  <si>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</si>
  <si>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</si>
  <si>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</si>
  <si>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</si>
  <si>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</si>
  <si>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</si>
  <si>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</si>
  <si>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</si>
  <si>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</si>
  <si>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</si>
  <si>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</si>
  <si>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</si>
  <si>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</si>
  <si>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</si>
  <si>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</si>
  <si>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</si>
  <si>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</si>
  <si>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</si>
  <si>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</si>
  <si>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</si>
  <si>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</si>
  <si>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</si>
  <si>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</si>
  <si>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</si>
  <si>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</si>
  <si>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</si>
  <si>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</si>
  <si>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</si>
  <si>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</si>
  <si>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</si>
  <si>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</si>
  <si>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</si>
  <si>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</si>
  <si>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</si>
  <si>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</si>
  <si>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</si>
  <si>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</si>
  <si>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</si>
  <si>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</si>
  <si>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</si>
  <si>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</si>
  <si>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</si>
  <si>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</si>
  <si>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</si>
  <si>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</si>
  <si>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</si>
  <si>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</si>
  <si>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</si>
  <si>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</si>
  <si>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</si>
  <si>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</si>
  <si>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</si>
  <si>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</si>
  <si>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This parameter is relevant for the production of pig iron, direct reduced iron, crude steel and iron and steel products. Please select from the drop-down list the main reducing agent (coke or coal, natural gas, etc.) used to reduce the iron ores.</t>
  </si>
  <si>
    <t>For steel goods, the identification number of the specific steel mill (also known as the "heat number") where a particular batch of raw materials was produced, where known.</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</si>
  <si>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</si>
  <si>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</si>
  <si>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</si>
  <si>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</si>
  <si>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</si>
  <si>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</si>
  <si>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the aggregated good iron and steel products. Please provide here the mass % of materials contained which are not iron or steel, if their mass is more than 1-5% of the total good’s mass.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</si>
  <si>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</si>
  <si>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</si>
  <si>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</si>
  <si>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This parameter is relevant for the production of cement. Please provide here the clinker factor, expressed as mass % of clinker content in the cement.</t>
  </si>
  <si>
    <t>This parameter is relevant for the production of calcined clay. Please select here from the drop-down list whether the clay is calcined or not.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</si>
  <si>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</si>
  <si>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</si>
  <si>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</si>
  <si>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</si>
  <si>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</si>
  <si>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</si>
  <si>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</si>
  <si>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</si>
  <si>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</si>
  <si>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</si>
  <si>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</si>
  <si>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</si>
  <si>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</si>
  <si>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</si>
  <si>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</si>
  <si>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Please select from the drop-down list whether the form of rebate or other form of compensation is via free allocation, financial compensation, tax deduction, a combination or any other form of rebate or compensation.</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</si>
  <si>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</si>
  <si>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</si>
  <si>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</si>
  <si>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</si>
  <si>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</si>
  <si>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</si>
  <si>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Installation &amp; processes</t>
  </si>
  <si>
    <t>Summary of the installation</t>
  </si>
  <si>
    <t>Summary of the production processes, included precursors and production routes, where relevant</t>
  </si>
  <si>
    <t>Routes</t>
  </si>
  <si>
    <t>Purchased precursor</t>
  </si>
  <si>
    <t>Greenhouse gas emissions balance and specific embedded emissions (SEE)</t>
  </si>
  <si>
    <t>GHG &amp;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</si>
  <si>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</si>
  <si>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</si>
  <si>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</si>
  <si>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</si>
  <si>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</si>
  <si>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</si>
  <si>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</si>
  <si>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</si>
  <si>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</si>
  <si>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</si>
  <si>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</si>
  <si>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</si>
  <si>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SE (direct)</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</si>
  <si>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</si>
  <si>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</si>
  <si>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SE (indirect)</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</si>
  <si>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</si>
  <si>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</si>
  <si>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Electricity consumed</t>
  </si>
  <si>
    <t>Specific electricity consumption within the production process.</t>
  </si>
  <si>
    <t>Type of precursor</t>
  </si>
  <si>
    <t>Detailed overview of each production processes</t>
  </si>
  <si>
    <t>Detailed overview</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</si>
  <si>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</si>
  <si>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</si>
  <si>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</si>
  <si>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</si>
  <si>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</si>
  <si>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</si>
  <si>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</si>
  <si>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</si>
  <si>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</si>
  <si>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</si>
  <si>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</si>
  <si>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</si>
  <si>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</si>
  <si>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</si>
  <si>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</si>
  <si>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</si>
  <si>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</si>
  <si>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</si>
  <si>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</si>
  <si>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</si>
  <si>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Production and consumption</t>
  </si>
  <si>
    <t>Total production of precursors</t>
  </si>
  <si>
    <t>Example process A</t>
  </si>
  <si>
    <t>Iron or steel products</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</si>
  <si>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</si>
  <si>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</si>
  <si>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</si>
  <si>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</si>
  <si>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</si>
  <si>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</si>
  <si>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</si>
  <si>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</si>
  <si>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</si>
  <si>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</si>
  <si>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</si>
  <si>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</si>
  <si>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</si>
  <si>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Precursors</t>
  </si>
  <si>
    <t>n.a.</t>
  </si>
  <si>
    <t>tonnes</t>
  </si>
  <si>
    <t>1000Nm3</t>
  </si>
  <si>
    <t>None</t>
  </si>
  <si>
    <t>Emissions Trading System</t>
  </si>
  <si>
    <t>Tax or levy</t>
  </si>
  <si>
    <t>Combination</t>
  </si>
  <si>
    <t>Free allocation</t>
  </si>
  <si>
    <t>Financial compensation</t>
  </si>
  <si>
    <t>Tax deduction</t>
  </si>
  <si>
    <t>h/year</t>
  </si>
  <si>
    <t>1000Nm3/h</t>
  </si>
  <si>
    <t>g/Nm3</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</si>
  <si>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</si>
  <si>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</si>
  <si>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</si>
  <si>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</si>
  <si>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</si>
  <si>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</si>
  <si>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</si>
  <si>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</si>
  <si>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</si>
  <si>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</si>
  <si>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</si>
  <si>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</si>
  <si>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Measured</t>
  </si>
  <si>
    <t>Default</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</si>
  <si>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</si>
  <si>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</si>
  <si>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</si>
  <si>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</si>
  <si>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Cement</t>
  </si>
  <si>
    <t>Cement clinker</t>
  </si>
  <si>
    <t xml:space="preserve">Calcined clays </t>
  </si>
  <si>
    <t>Crude steel</t>
  </si>
  <si>
    <t>Basic oxygen steelmaking</t>
  </si>
  <si>
    <t>Electric arc furnace</t>
  </si>
  <si>
    <t>Other production routes</t>
  </si>
  <si>
    <t>Unknown production routes</t>
  </si>
  <si>
    <t>Direct reduced iron</t>
  </si>
  <si>
    <t>Pig iron</t>
  </si>
  <si>
    <t>Blast furnace route</t>
  </si>
  <si>
    <t>Smelting reduction</t>
  </si>
  <si>
    <t>Alloys (FeMn, FeCr, FeNi)</t>
  </si>
  <si>
    <t>Sintered Ore</t>
  </si>
  <si>
    <t>Steam reforming and partial oxidation</t>
  </si>
  <si>
    <t>Electrolysis of water</t>
  </si>
  <si>
    <t>Chlor-Alkali electrolysis and production of chlorates</t>
  </si>
  <si>
    <t>Ammonia</t>
  </si>
  <si>
    <t>Haber-Bosch process with steam reforming of natural gas or biogas</t>
  </si>
  <si>
    <t>Haber-Bosch process with gasification of coal or other fuels</t>
  </si>
  <si>
    <t>Nitric acid</t>
  </si>
  <si>
    <t>Urea</t>
  </si>
  <si>
    <t>Mixed fertilizers</t>
  </si>
  <si>
    <t>Aluminium products</t>
  </si>
  <si>
    <t>Primary (electrolytic) smelting</t>
  </si>
  <si>
    <t>Secondary melting (recycling)</t>
  </si>
  <si>
    <t>Electricity (export to EU)</t>
  </si>
  <si>
    <t>The main reducing agent used</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</si>
  <si>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</si>
  <si>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</si>
  <si>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</si>
  <si>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</si>
  <si>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</si>
  <si>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</si>
  <si>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</si>
  <si>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</si>
  <si>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</si>
  <si>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</si>
  <si>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</si>
  <si>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</si>
  <si>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</si>
  <si>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</si>
  <si>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</si>
  <si>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</si>
  <si>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</si>
  <si>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</si>
  <si>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</si>
  <si>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</si>
  <si>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</si>
  <si>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</si>
  <si>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</si>
  <si>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</si>
  <si>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</si>
  <si>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</si>
  <si>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</si>
  <si>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</si>
  <si>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</si>
  <si>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</si>
  <si>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</si>
  <si>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</si>
  <si>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</si>
  <si>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</si>
  <si>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</si>
  <si>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</si>
  <si>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</si>
  <si>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</si>
  <si>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</si>
  <si>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</si>
  <si>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</si>
  <si>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</si>
  <si>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</si>
  <si>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</si>
  <si>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</si>
  <si>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</si>
  <si>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</si>
  <si>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</si>
  <si>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</si>
  <si>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</si>
  <si>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</si>
  <si>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</si>
  <si>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</si>
  <si>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</si>
  <si>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</si>
  <si>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</si>
  <si>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</si>
  <si>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</si>
  <si>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</si>
  <si>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</si>
  <si>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</si>
  <si>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</si>
  <si>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</si>
  <si>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</si>
  <si>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</si>
  <si>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</si>
  <si>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</si>
  <si>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</si>
  <si>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</si>
  <si>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</si>
  <si>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</si>
  <si>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</si>
  <si>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</si>
  <si>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</si>
  <si>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</si>
  <si>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</si>
  <si>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</si>
  <si>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</si>
  <si>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</si>
  <si>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</si>
  <si>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</si>
  <si>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</si>
  <si>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</si>
  <si>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</si>
  <si>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</si>
  <si>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</si>
  <si>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</si>
  <si>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</si>
  <si>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</si>
  <si>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</si>
  <si>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</si>
  <si>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</si>
  <si>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</si>
  <si>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</si>
  <si>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</si>
  <si>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</si>
  <si>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</si>
  <si>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</si>
  <si>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</si>
  <si>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China</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</si>
  <si>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</si>
  <si>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</si>
  <si>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</si>
  <si>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</si>
  <si>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</si>
  <si>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</si>
  <si>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</si>
  <si>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</si>
  <si>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</si>
  <si>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</si>
  <si>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</si>
  <si>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</si>
  <si>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</si>
  <si>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</si>
  <si>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</si>
  <si>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</si>
  <si>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</si>
  <si>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</si>
  <si>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</si>
  <si>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</si>
  <si>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</si>
  <si>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</si>
  <si>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</si>
  <si>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</si>
  <si>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</si>
  <si>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</si>
  <si>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</si>
  <si>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</si>
  <si>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</si>
  <si>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</si>
  <si>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</si>
  <si>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</si>
  <si>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</si>
  <si>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</si>
  <si>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</si>
  <si>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</si>
  <si>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</si>
  <si>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</si>
  <si>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</si>
  <si>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</si>
  <si>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</si>
  <si>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</si>
  <si>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</si>
  <si>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</si>
  <si>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</si>
  <si>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</si>
  <si>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</si>
  <si>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</si>
  <si>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</si>
  <si>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</si>
  <si>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</si>
  <si>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</si>
  <si>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</si>
  <si>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</si>
  <si>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</si>
  <si>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</si>
  <si>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</si>
  <si>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</si>
  <si>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</si>
  <si>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</si>
  <si>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</si>
  <si>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</si>
  <si>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</si>
  <si>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</si>
  <si>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</si>
  <si>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</si>
  <si>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</si>
  <si>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</si>
  <si>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</si>
  <si>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</si>
  <si>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</si>
  <si>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</si>
  <si>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</si>
  <si>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</si>
  <si>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</si>
  <si>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</si>
  <si>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</si>
  <si>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</si>
  <si>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</si>
  <si>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</si>
  <si>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</si>
  <si>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</si>
  <si>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</si>
  <si>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</si>
  <si>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</si>
  <si>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</si>
  <si>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</si>
  <si>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</si>
  <si>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</si>
  <si>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</si>
  <si>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</si>
  <si>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</si>
  <si>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</si>
  <si>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</si>
  <si>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</si>
  <si>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</si>
  <si>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</si>
  <si>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</si>
  <si>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</si>
  <si>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</si>
  <si>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</si>
  <si>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</si>
  <si>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</si>
  <si>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</si>
  <si>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</si>
  <si>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</si>
  <si>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</si>
  <si>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</si>
  <si>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</si>
  <si>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</si>
  <si>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</si>
  <si>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</si>
  <si>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</si>
  <si>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</si>
  <si>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</si>
  <si>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</si>
  <si>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</si>
  <si>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</si>
  <si>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</si>
  <si>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</si>
  <si>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</si>
  <si>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</si>
  <si>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</si>
  <si>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</si>
  <si>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</si>
  <si>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</si>
  <si>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</si>
  <si>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</si>
  <si>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</si>
  <si>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</si>
  <si>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</si>
  <si>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</si>
  <si>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</si>
  <si>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</si>
  <si>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</si>
  <si>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</si>
  <si>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</si>
  <si>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</si>
  <si>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</si>
  <si>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</si>
  <si>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</si>
  <si>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</si>
  <si>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</si>
  <si>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</si>
  <si>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</si>
  <si>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</si>
  <si>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</si>
  <si>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</si>
  <si>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</si>
  <si>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</si>
  <si>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</si>
  <si>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</si>
  <si>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</si>
  <si>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</si>
  <si>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</si>
  <si>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</si>
  <si>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</si>
  <si>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</si>
  <si>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</si>
  <si>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</si>
  <si>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</si>
  <si>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</si>
  <si>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</si>
  <si>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</si>
  <si>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</si>
  <si>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</si>
  <si>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</si>
  <si>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</si>
  <si>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</si>
  <si>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</si>
  <si>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</si>
  <si>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</si>
  <si>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</si>
  <si>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</si>
  <si>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</si>
  <si>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</si>
  <si>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</si>
  <si>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</si>
  <si>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</si>
  <si>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</si>
  <si>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</si>
  <si>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</si>
  <si>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</si>
  <si>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</si>
  <si>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</si>
  <si>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</si>
  <si>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</si>
  <si>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</si>
  <si>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</si>
  <si>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</si>
  <si>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</si>
  <si>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</si>
  <si>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</si>
  <si>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</si>
  <si>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</si>
  <si>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</si>
  <si>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</si>
  <si>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</si>
  <si>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</si>
  <si>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</si>
  <si>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</si>
  <si>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</si>
  <si>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</si>
  <si>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</si>
  <si>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</si>
  <si>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</si>
  <si>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</si>
  <si>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</si>
  <si>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</si>
  <si>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</si>
  <si>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</si>
  <si>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</si>
  <si>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</si>
  <si>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</si>
  <si>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</si>
  <si>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</si>
  <si>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</si>
  <si>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</si>
  <si>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</si>
  <si>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</si>
  <si>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</si>
  <si>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</si>
  <si>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</si>
  <si>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</si>
  <si>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</si>
  <si>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</si>
  <si>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</si>
  <si>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</si>
  <si>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</si>
  <si>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</si>
  <si>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</si>
  <si>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</si>
  <si>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</si>
  <si>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</si>
  <si>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</si>
  <si>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</si>
  <si>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</si>
  <si>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</si>
  <si>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</si>
  <si>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</si>
  <si>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</si>
  <si>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</si>
  <si>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</si>
  <si>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</si>
  <si>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</si>
  <si>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</si>
  <si>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</si>
  <si>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</si>
  <si>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</si>
  <si>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</si>
  <si>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</si>
  <si>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</si>
  <si>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</si>
  <si>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</si>
  <si>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</si>
  <si>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</si>
  <si>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</si>
  <si>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</si>
  <si>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</si>
  <si>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</si>
  <si>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</si>
  <si>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</si>
  <si>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</si>
  <si>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</si>
  <si>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</si>
  <si>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</si>
  <si>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</si>
  <si>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</si>
  <si>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</si>
  <si>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</si>
  <si>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</si>
  <si>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</si>
  <si>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</si>
  <si>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</si>
  <si>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</si>
  <si>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</si>
  <si>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</si>
  <si>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</si>
  <si>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</si>
  <si>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</si>
  <si>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</si>
  <si>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</si>
  <si>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</si>
  <si>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</si>
  <si>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</si>
  <si>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</si>
  <si>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</si>
  <si>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</si>
  <si>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</si>
  <si>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</si>
  <si>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</si>
  <si>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</si>
  <si>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</si>
  <si>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</si>
  <si>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</si>
  <si>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</si>
  <si>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</si>
  <si>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</si>
  <si>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</si>
  <si>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</si>
  <si>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</si>
  <si>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</si>
  <si>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</si>
  <si>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</si>
  <si>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</si>
  <si>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</si>
  <si>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</si>
  <si>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</si>
  <si>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</si>
  <si>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</si>
  <si>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</si>
  <si>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&amp; data quality</t>
  </si>
  <si>
    <t>GHG balance by type of GHG</t>
  </si>
  <si>
    <t>GHG balance by type of monitoring methodology</t>
  </si>
  <si>
    <t>Values below are taken automatically from entries in sheet "B_EmInst" and point (a) above.</t>
  </si>
  <si>
    <t>Information on the data quality and quality assurance</t>
  </si>
  <si>
    <t>Please select from the hierarchical order (descending order) in the drop-down list the predominant approach for determining the installation's direct emissions.</t>
  </si>
  <si>
    <t>If the predominant method was to use default values published by the European Commission, please select from the drop-down list the most appropriate justification for not achieving higher data quality.</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</si>
  <si>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</si>
  <si>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</si>
  <si>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</si>
  <si>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</si>
  <si>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</si>
  <si>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</si>
  <si>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</si>
  <si>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direct embedded emissions embedded in purchased precursors and determined by default values.</t>
  </si>
  <si>
    <t>This information is taken from the "tool to calculate the carbon price due" in sheet "F_Tools", where relevant.</t>
  </si>
  <si>
    <t>Carbon price (CP)</t>
  </si>
  <si>
    <t>Amount of rebate</t>
  </si>
  <si>
    <t>Missing entries?</t>
  </si>
  <si>
    <t>Summary of emissions by monitoring methodology and data quality</t>
  </si>
  <si>
    <t>Mostly measurements &amp; analyses</t>
  </si>
  <si>
    <t>Mostly measurements &amp; national standard factors for e.g. the emission factor</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</si>
  <si>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</si>
  <si>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</si>
  <si>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</si>
  <si>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</si>
  <si>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Internal audits</t>
  </si>
  <si>
    <t>Four eyes principle</t>
  </si>
  <si>
    <t>Unreasonable costs for more accurate monitoring</t>
  </si>
  <si>
    <t>Data gaps</t>
  </si>
  <si>
    <t>Name of this sheet:</t>
  </si>
  <si>
    <t>Please select from the hierarchical order (descending order) in the drop-down list the approach for quality assurance of emissions data.</t>
  </si>
  <si>
    <t>Info for automatic Version detection</t>
  </si>
  <si>
    <t>Template type:</t>
  </si>
  <si>
    <t>CBAM installation communication SEE</t>
  </si>
  <si>
    <t>Version:</t>
  </si>
  <si>
    <t>Issued by:</t>
  </si>
  <si>
    <t>Umweltbundesamt</t>
  </si>
  <si>
    <t>Language:</t>
  </si>
  <si>
    <t>English</t>
  </si>
  <si>
    <t>Type list:</t>
  </si>
  <si>
    <t>CBAM SEE Communication</t>
  </si>
  <si>
    <t>Version list</t>
  </si>
  <si>
    <t>Reference File Name</t>
  </si>
  <si>
    <t>Version comments</t>
  </si>
  <si>
    <t>First published version</t>
  </si>
  <si>
    <t>First set of bugs fixed (mass balance, electricity exported,…)</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</si>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</sst>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
    <numFmt numFmtId="177" formatCode="0.000"/>
    <numFmt numFmtId="178" formatCode="#,##0.000"/>
    <numFmt numFmtId="179" formatCode="#,##0_ ;[Red]\-#,##0\ "/>
    <numFmt numFmtId="180" formatCode="0.0000"/>
    <numFmt numFmtId="181" formatCode="0.0%"/>
    <numFmt numFmtId="182" formatCode="#,##0.00_ ;[Red]\-#,##0.00\ "/>
    <numFmt numFmtId="183" formatCode="#,##0.0000"/>
  </numFmts>
  <fonts count="69" x14ac:knownFonts="1">
    <font>
      <sz val="11"/>
      <color theme="1"/>
      <name val="新細明體"/>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新細明體"/>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新細明體"/>
      <family val="2"/>
      <scheme val="minor"/>
    </font>
    <font>
      <sz val="11"/>
      <color theme="3" tint="-0.499984740745262"/>
      <name val="新細明體"/>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新細明體"/>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
      <sz val="9"/>
      <name val="新細明體"/>
      <family val="3"/>
      <charset val="136"/>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2">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77"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78"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77" fontId="9" fillId="6" borderId="20" xfId="0" applyNumberFormat="1" applyFont="1" applyFill="1" applyBorder="1" applyAlignment="1">
      <alignment horizontal="center" vertical="center"/>
    </xf>
    <xf numFmtId="177" fontId="9" fillId="6" borderId="22" xfId="0" applyNumberFormat="1" applyFont="1" applyFill="1" applyBorder="1" applyAlignment="1">
      <alignment horizontal="center" vertical="center"/>
    </xf>
    <xf numFmtId="177"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77"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77"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77"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77"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77"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81"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82"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82"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78" fontId="29" fillId="6" borderId="90" xfId="0" applyNumberFormat="1" applyFont="1" applyFill="1" applyBorder="1" applyAlignment="1">
      <alignment horizontal="center" vertical="center"/>
    </xf>
    <xf numFmtId="178" fontId="29" fillId="6" borderId="91" xfId="0" applyNumberFormat="1" applyFont="1" applyFill="1" applyBorder="1" applyAlignment="1">
      <alignment horizontal="center" vertical="center"/>
    </xf>
    <xf numFmtId="178" fontId="29" fillId="6" borderId="92" xfId="0" applyNumberFormat="1" applyFont="1" applyFill="1" applyBorder="1" applyAlignment="1">
      <alignment horizontal="center" vertical="center"/>
    </xf>
    <xf numFmtId="178" fontId="29" fillId="6" borderId="93" xfId="0" applyNumberFormat="1" applyFont="1" applyFill="1" applyBorder="1" applyAlignment="1">
      <alignment horizontal="center" vertical="center"/>
    </xf>
    <xf numFmtId="178"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77" fontId="29" fillId="6" borderId="90" xfId="0" applyNumberFormat="1" applyFont="1" applyFill="1" applyBorder="1" applyAlignment="1">
      <alignment horizontal="center" vertical="center"/>
    </xf>
    <xf numFmtId="180" fontId="29" fillId="6" borderId="91" xfId="0" applyNumberFormat="1" applyFont="1" applyFill="1" applyBorder="1" applyAlignment="1">
      <alignment horizontal="center" vertical="center"/>
    </xf>
    <xf numFmtId="177" fontId="29" fillId="6" borderId="92" xfId="0" applyNumberFormat="1" applyFont="1" applyFill="1" applyBorder="1" applyAlignment="1">
      <alignment horizontal="center" vertical="center"/>
    </xf>
    <xf numFmtId="180" fontId="29" fillId="6" borderId="94" xfId="0" applyNumberFormat="1" applyFont="1" applyFill="1" applyBorder="1" applyAlignment="1">
      <alignment horizontal="center" vertical="center"/>
    </xf>
    <xf numFmtId="180" fontId="29" fillId="6" borderId="90" xfId="0" applyNumberFormat="1" applyFont="1" applyFill="1" applyBorder="1" applyAlignment="1">
      <alignment horizontal="center" vertical="center"/>
    </xf>
    <xf numFmtId="180"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82"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77" fontId="29" fillId="6" borderId="102" xfId="0" applyNumberFormat="1" applyFont="1" applyFill="1" applyBorder="1" applyAlignment="1">
      <alignment horizontal="center" vertical="center"/>
    </xf>
    <xf numFmtId="180" fontId="29" fillId="6" borderId="103" xfId="0" applyNumberFormat="1" applyFont="1" applyFill="1" applyBorder="1" applyAlignment="1">
      <alignment horizontal="center" vertical="center"/>
    </xf>
    <xf numFmtId="180" fontId="29" fillId="6" borderId="102" xfId="0" applyNumberFormat="1" applyFont="1" applyFill="1" applyBorder="1" applyAlignment="1">
      <alignment horizontal="center" vertical="center"/>
    </xf>
    <xf numFmtId="177" fontId="29" fillId="6" borderId="87" xfId="0" applyNumberFormat="1" applyFont="1" applyFill="1" applyBorder="1" applyAlignment="1">
      <alignment horizontal="center" vertical="center"/>
    </xf>
    <xf numFmtId="180" fontId="29" fillId="6" borderId="89" xfId="0" applyNumberFormat="1" applyFont="1" applyFill="1" applyBorder="1" applyAlignment="1">
      <alignment horizontal="center" vertical="center"/>
    </xf>
    <xf numFmtId="180"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78" fontId="29" fillId="6" borderId="102" xfId="0" applyNumberFormat="1" applyFont="1" applyFill="1" applyBorder="1" applyAlignment="1">
      <alignment horizontal="center" vertical="center"/>
    </xf>
    <xf numFmtId="178" fontId="29" fillId="6" borderId="67" xfId="0" applyNumberFormat="1" applyFont="1" applyFill="1" applyBorder="1" applyAlignment="1">
      <alignment horizontal="center" vertical="center"/>
    </xf>
    <xf numFmtId="178"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78" fontId="29" fillId="6" borderId="87" xfId="0" applyNumberFormat="1" applyFont="1" applyFill="1" applyBorder="1" applyAlignment="1">
      <alignment horizontal="center" vertical="center"/>
    </xf>
    <xf numFmtId="178" fontId="29" fillId="6" borderId="88" xfId="0" applyNumberFormat="1" applyFont="1" applyFill="1" applyBorder="1" applyAlignment="1">
      <alignment horizontal="center" vertical="center"/>
    </xf>
    <xf numFmtId="178"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77" fontId="2" fillId="6" borderId="46" xfId="0" applyNumberFormat="1" applyFont="1" applyFill="1" applyBorder="1" applyAlignment="1">
      <alignment horizontal="center" vertical="center"/>
    </xf>
    <xf numFmtId="177"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77"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77"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77" fontId="9" fillId="6" borderId="27" xfId="0" applyNumberFormat="1" applyFont="1" applyFill="1" applyBorder="1" applyAlignment="1">
      <alignment horizontal="center" vertical="center"/>
    </xf>
    <xf numFmtId="181" fontId="9" fillId="4" borderId="20" xfId="0" applyNumberFormat="1" applyFont="1" applyFill="1" applyBorder="1" applyAlignment="1" applyProtection="1">
      <alignment horizontal="center" vertical="center"/>
      <protection locked="0"/>
    </xf>
    <xf numFmtId="181" fontId="9" fillId="4" borderId="22" xfId="0" applyNumberFormat="1" applyFont="1" applyFill="1" applyBorder="1" applyAlignment="1" applyProtection="1">
      <alignment horizontal="center" vertical="center"/>
      <protection locked="0"/>
    </xf>
    <xf numFmtId="181" fontId="9" fillId="4" borderId="27" xfId="0" applyNumberFormat="1" applyFont="1" applyFill="1" applyBorder="1" applyAlignment="1" applyProtection="1">
      <alignment horizontal="center" vertical="center"/>
      <protection locked="0"/>
    </xf>
    <xf numFmtId="181"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76"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76"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76"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76"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76"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76"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78"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78"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78"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76"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76"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76"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76" fontId="44" fillId="2" borderId="18" xfId="0" applyNumberFormat="1" applyFont="1" applyFill="1" applyBorder="1" applyAlignment="1">
      <alignment horizontal="center"/>
    </xf>
    <xf numFmtId="178"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77" fontId="4" fillId="6" borderId="29" xfId="0" applyNumberFormat="1" applyFont="1" applyFill="1" applyBorder="1" applyAlignment="1">
      <alignment horizontal="center" vertical="center"/>
    </xf>
    <xf numFmtId="177" fontId="7" fillId="6" borderId="18" xfId="0" applyNumberFormat="1" applyFont="1" applyFill="1" applyBorder="1" applyAlignment="1">
      <alignment horizontal="center" vertical="center"/>
    </xf>
    <xf numFmtId="177" fontId="8" fillId="6" borderId="22" xfId="0" applyNumberFormat="1" applyFont="1" applyFill="1" applyBorder="1" applyAlignment="1">
      <alignment horizontal="center" vertical="center"/>
    </xf>
    <xf numFmtId="177" fontId="8" fillId="6" borderId="24" xfId="0" applyNumberFormat="1" applyFont="1" applyFill="1" applyBorder="1" applyAlignment="1">
      <alignment horizontal="center" vertical="center"/>
    </xf>
    <xf numFmtId="177" fontId="2" fillId="2" borderId="0" xfId="0" applyNumberFormat="1" applyFont="1" applyFill="1" applyAlignment="1">
      <alignment vertical="center"/>
    </xf>
    <xf numFmtId="177" fontId="2" fillId="2" borderId="31" xfId="0" applyNumberFormat="1" applyFont="1" applyFill="1" applyBorder="1" applyAlignment="1">
      <alignment vertical="center"/>
    </xf>
    <xf numFmtId="177" fontId="4" fillId="2" borderId="55" xfId="0" applyNumberFormat="1" applyFont="1" applyFill="1" applyBorder="1" applyAlignment="1">
      <alignment horizontal="center" vertical="center" wrapText="1"/>
    </xf>
    <xf numFmtId="177"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77"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77" fontId="7" fillId="2" borderId="20" xfId="0" applyNumberFormat="1" applyFont="1" applyFill="1" applyBorder="1" applyAlignment="1">
      <alignment horizontal="center" vertical="center"/>
    </xf>
    <xf numFmtId="177" fontId="7" fillId="2" borderId="22" xfId="0" applyNumberFormat="1" applyFont="1" applyFill="1" applyBorder="1" applyAlignment="1">
      <alignment horizontal="center" vertical="center"/>
    </xf>
    <xf numFmtId="177"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77"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77"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81" fontId="44" fillId="2" borderId="36" xfId="2" applyNumberFormat="1" applyFont="1" applyFill="1" applyBorder="1" applyAlignment="1" applyProtection="1">
      <alignment horizontal="center" vertical="center" wrapText="1"/>
    </xf>
    <xf numFmtId="177"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83" fontId="44" fillId="13" borderId="108" xfId="0" applyNumberFormat="1" applyFont="1" applyFill="1" applyBorder="1" applyAlignment="1">
      <alignment horizontal="center"/>
    </xf>
    <xf numFmtId="183" fontId="44" fillId="13" borderId="22" xfId="0" applyNumberFormat="1" applyFont="1" applyFill="1" applyBorder="1" applyAlignment="1">
      <alignment horizontal="center"/>
    </xf>
    <xf numFmtId="183" fontId="44" fillId="13" borderId="24" xfId="0" applyNumberFormat="1" applyFont="1" applyFill="1" applyBorder="1" applyAlignment="1">
      <alignment horizontal="center"/>
    </xf>
    <xf numFmtId="183" fontId="2" fillId="5" borderId="20" xfId="0" applyNumberFormat="1" applyFont="1" applyFill="1" applyBorder="1" applyAlignment="1" applyProtection="1">
      <alignment horizontal="center"/>
      <protection locked="0"/>
    </xf>
    <xf numFmtId="183" fontId="2" fillId="5" borderId="22" xfId="0" applyNumberFormat="1" applyFont="1" applyFill="1" applyBorder="1" applyAlignment="1" applyProtection="1">
      <alignment horizontal="center"/>
      <protection locked="0"/>
    </xf>
    <xf numFmtId="183"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1" fillId="8"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41" fillId="24" borderId="0" xfId="1" applyFont="1" applyFill="1" applyAlignment="1" applyProtection="1">
      <alignment horizontal="left" vertical="center"/>
    </xf>
    <xf numFmtId="0" fontId="33" fillId="24" borderId="0" xfId="0" applyFont="1" applyFill="1" applyAlignment="1">
      <alignment horizontal="left" vertical="center"/>
    </xf>
    <xf numFmtId="0" fontId="1" fillId="2" borderId="0" xfId="1" applyFill="1" applyAlignment="1" applyProtection="1">
      <alignment horizontal="left" vertical="center"/>
    </xf>
    <xf numFmtId="0" fontId="0" fillId="0" borderId="0" xfId="0" applyAlignment="1">
      <alignment horizontal="left" vertical="center"/>
    </xf>
    <xf numFmtId="0" fontId="41" fillId="2" borderId="0" xfId="1" applyFont="1" applyFill="1" applyAlignment="1" applyProtection="1">
      <alignment horizontal="left" vertical="center"/>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25" fillId="2" borderId="0" xfId="0" applyFont="1" applyFill="1" applyAlignment="1">
      <alignment horizontal="left" vertical="top" wrapText="1"/>
    </xf>
    <xf numFmtId="0" fontId="43" fillId="0" borderId="0" xfId="0" applyFont="1" applyAlignment="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79" fontId="19" fillId="18" borderId="15" xfId="0" applyNumberFormat="1" applyFont="1" applyFill="1" applyBorder="1" applyAlignment="1" applyProtection="1">
      <alignment horizontal="center" vertical="top"/>
      <protection locked="0"/>
    </xf>
    <xf numFmtId="179" fontId="19" fillId="18" borderId="14" xfId="0" applyNumberFormat="1" applyFont="1" applyFill="1" applyBorder="1" applyAlignment="1" applyProtection="1">
      <alignment horizontal="center" vertical="top"/>
      <protection locked="0"/>
    </xf>
    <xf numFmtId="179" fontId="19" fillId="19" borderId="15" xfId="0" applyNumberFormat="1" applyFont="1" applyFill="1" applyBorder="1" applyAlignment="1">
      <alignment horizontal="center" vertical="top"/>
    </xf>
    <xf numFmtId="179"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40" fillId="2" borderId="0" xfId="0" applyFont="1" applyFill="1" applyAlignment="1">
      <alignment horizontal="left" vertical="top"/>
    </xf>
    <xf numFmtId="0" fontId="47" fillId="24" borderId="0" xfId="0" applyFont="1" applyFill="1" applyAlignment="1">
      <alignment vertical="top" wrapText="1"/>
    </xf>
    <xf numFmtId="0" fontId="32" fillId="24" borderId="0" xfId="0" applyFont="1" applyFill="1" applyAlignment="1">
      <alignment vertical="top" wrapText="1"/>
    </xf>
    <xf numFmtId="0" fontId="3" fillId="13" borderId="19" xfId="0" applyFont="1" applyFill="1" applyBorder="1" applyAlignment="1">
      <alignment horizontal="left" wrapText="1"/>
    </xf>
    <xf numFmtId="0" fontId="3" fillId="13" borderId="46" xfId="0" applyFont="1" applyFill="1" applyBorder="1" applyAlignment="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18" fillId="13" borderId="0" xfId="0" applyFont="1" applyFill="1" applyAlignment="1">
      <alignment horizontal="lef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Alignment="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lignment horizontal="center"/>
    </xf>
    <xf numFmtId="0" fontId="19" fillId="0" borderId="18" xfId="0" applyFont="1" applyBorder="1" applyAlignment="1">
      <alignment horizontal="center"/>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5"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38" fillId="2" borderId="0" xfId="0" applyFont="1" applyFill="1" applyAlignment="1">
      <alignment horizontal="left" vertical="center" wrapText="1"/>
    </xf>
    <xf numFmtId="0" fontId="38" fillId="2" borderId="0" xfId="0" applyFont="1" applyFill="1" applyAlignment="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4" fillId="6" borderId="12" xfId="0" applyFont="1" applyFill="1" applyBorder="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 fillId="8" borderId="63" xfId="1" applyFill="1" applyBorder="1" applyAlignment="1" applyProtection="1">
      <alignment horizontal="center" vertical="center" wrapText="1"/>
    </xf>
    <xf numFmtId="0" fontId="2" fillId="6" borderId="12" xfId="0" applyFont="1" applyFill="1" applyBorder="1" applyAlignment="1">
      <alignment horizontal="left" vertical="center"/>
    </xf>
    <xf numFmtId="0" fontId="18" fillId="8" borderId="0" xfId="0" applyFont="1" applyFill="1" applyAlignment="1">
      <alignment horizontal="left" vertical="top" wrapText="1"/>
    </xf>
    <xf numFmtId="177" fontId="2" fillId="5" borderId="12" xfId="0" applyNumberFormat="1" applyFont="1" applyFill="1" applyBorder="1" applyAlignment="1" applyProtection="1">
      <alignment horizontal="left" vertical="center"/>
      <protection locked="0"/>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32" fillId="13" borderId="0" xfId="0" applyFont="1" applyFill="1" applyAlignment="1">
      <alignment vertical="center" wrapText="1"/>
    </xf>
    <xf numFmtId="0" fontId="45" fillId="0" borderId="0" xfId="0" applyFont="1" applyAlignment="1">
      <alignment vertical="center" wrapText="1"/>
    </xf>
    <xf numFmtId="0" fontId="18" fillId="2" borderId="0" xfId="0" applyFont="1" applyFill="1" applyAlignment="1">
      <alignment horizontal="left" vertical="top" wrapText="1"/>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0" fillId="0" borderId="0" xfId="0" applyAlignment="1">
      <alignment horizontal="left" vertical="top" wrapText="1"/>
    </xf>
    <xf numFmtId="0" fontId="18" fillId="24" borderId="0" xfId="0" quotePrefix="1" applyFont="1" applyFill="1" applyAlignment="1">
      <alignment horizontal="left" vertical="top" wrapText="1"/>
    </xf>
    <xf numFmtId="0" fontId="18" fillId="24" borderId="0" xfId="0" applyFont="1" applyFill="1" applyAlignment="1">
      <alignment horizontal="left" vertical="top" wrapText="1"/>
    </xf>
    <xf numFmtId="0" fontId="38" fillId="2" borderId="26" xfId="0" applyFont="1" applyFill="1" applyBorder="1" applyAlignment="1">
      <alignment horizontal="left" vertical="top" wrapText="1"/>
    </xf>
    <xf numFmtId="0" fontId="38" fillId="2" borderId="47" xfId="0" applyFont="1" applyFill="1" applyBorder="1" applyAlignment="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56" fillId="2" borderId="19" xfId="0" applyFont="1" applyFill="1" applyBorder="1" applyAlignment="1">
      <alignment horizont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1" fillId="2" borderId="47" xfId="1" applyFill="1" applyBorder="1" applyAlignment="1" applyProtection="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43" fillId="0" borderId="23" xfId="0" applyFont="1" applyBorder="1" applyAlignment="1">
      <alignment horizontal="left" vertical="top" wrapText="1"/>
    </xf>
    <xf numFmtId="0" fontId="43" fillId="0" borderId="21" xfId="0" applyFont="1" applyBorder="1" applyAlignment="1">
      <alignment horizontal="left" vertical="top"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一般" xfId="0" builtinId="0"/>
    <cellStyle name="百分比" xfId="2" builtinId="5"/>
    <cellStyle name="超連結" xfId="1" builtinId="8"/>
  </cellStyles>
  <dxfs count="514">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B2" zoomScaleNormal="100" workbookViewId="0">
      <selection activeCell="G2" sqref="G2:H2"/>
    </sheetView>
  </sheetViews>
  <sheetFormatPr defaultColWidth="11.42578125" defaultRowHeight="12.75" x14ac:dyDescent="0.2"/>
  <cols>
    <col min="1" max="1" width="4.7109375" style="89" hidden="1" customWidth="1"/>
    <col min="2" max="4" width="3.7109375" style="91" customWidth="1"/>
    <col min="5" max="5" width="20.7109375" style="91" customWidth="1"/>
    <col min="6" max="14" width="12.7109375" style="91" customWidth="1"/>
    <col min="15" max="15" width="1.7109375" style="91" customWidth="1"/>
    <col min="16" max="17" width="11.42578125" style="113"/>
    <col min="18" max="21" width="11.42578125" style="112" hidden="1" customWidth="1"/>
    <col min="22" max="16384" width="11.42578125" style="113"/>
  </cols>
  <sheetData>
    <row r="1" spans="1:21" s="89" customFormat="1" ht="14.1" hidden="1" customHeight="1" thickBot="1" x14ac:dyDescent="0.3">
      <c r="A1" s="89" t="s">
        <v>0</v>
      </c>
      <c r="P1" s="90"/>
      <c r="R1" s="89" t="s">
        <v>0</v>
      </c>
      <c r="S1" s="89" t="s">
        <v>0</v>
      </c>
      <c r="T1" s="89" t="s">
        <v>0</v>
      </c>
      <c r="U1" s="89" t="s">
        <v>0</v>
      </c>
    </row>
    <row r="2" spans="1:21" s="91" customFormat="1" ht="14.1" customHeight="1" thickBot="1" x14ac:dyDescent="0.3">
      <c r="A2" s="89"/>
      <c r="B2" s="1073" t="str">
        <f>Translations!$B$5</f>
        <v>Version history</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P2" s="92"/>
      <c r="R2" s="89" t="s">
        <v>1</v>
      </c>
      <c r="S2" s="93" t="str">
        <f>ADDRESS(ROW($B$6),COLUMN($B$6)) &amp; ":" &amp; ADDRESS(MATCH("PRINT",$P:$P,0),COLUMN($O$6))</f>
        <v>$B$6:$O$20</v>
      </c>
      <c r="T2" s="89" t="s">
        <v>2</v>
      </c>
      <c r="U2" s="102" t="str">
        <f ca="1">IF(ISERROR(CELL("filename",V2)),"MSParameters",MID(CELL("filename",V2),FIND("]",CELL("filename",V2))+1,1024))</f>
        <v>0_Versions</v>
      </c>
    </row>
    <row r="3" spans="1:21" s="91" customFormat="1" ht="14.1" customHeight="1" x14ac:dyDescent="0.25">
      <c r="A3" s="89"/>
      <c r="B3" s="1076"/>
      <c r="C3" s="1077"/>
      <c r="D3" s="1078"/>
      <c r="E3" s="1068"/>
      <c r="F3" s="1068"/>
      <c r="G3" s="1068"/>
      <c r="H3" s="1068"/>
      <c r="I3" s="1068"/>
      <c r="J3" s="1068"/>
      <c r="K3" s="1068"/>
      <c r="L3" s="1068"/>
      <c r="M3" s="1068"/>
      <c r="N3" s="1068"/>
      <c r="P3" s="92"/>
      <c r="R3" s="89"/>
      <c r="S3" s="89"/>
      <c r="T3" s="89"/>
      <c r="U3" s="89"/>
    </row>
    <row r="4" spans="1:21" s="91" customFormat="1" ht="14.1" customHeight="1" thickBot="1" x14ac:dyDescent="0.3">
      <c r="A4" s="89"/>
      <c r="B4" s="1079"/>
      <c r="C4" s="1080"/>
      <c r="D4" s="1081"/>
      <c r="E4" s="1068"/>
      <c r="F4" s="1068"/>
      <c r="G4" s="1068"/>
      <c r="H4" s="1068"/>
      <c r="I4" s="1068"/>
      <c r="J4" s="1068"/>
      <c r="K4" s="1068"/>
      <c r="L4" s="1068"/>
      <c r="M4" s="1068"/>
      <c r="N4" s="1068"/>
      <c r="P4" s="92"/>
      <c r="R4" s="89"/>
      <c r="S4" s="89"/>
      <c r="T4" s="89"/>
      <c r="U4" s="89"/>
    </row>
    <row r="5" spans="1:21" s="91" customFormat="1" ht="5.0999999999999996" customHeight="1" x14ac:dyDescent="0.25">
      <c r="A5" s="89"/>
      <c r="P5" s="92"/>
      <c r="R5" s="89"/>
      <c r="S5" s="89"/>
      <c r="T5" s="89"/>
      <c r="U5" s="89"/>
    </row>
    <row r="6" spans="1:21" s="95" customFormat="1" ht="20.100000000000001" customHeight="1" x14ac:dyDescent="0.25">
      <c r="A6" s="94"/>
      <c r="C6" s="106" t="str">
        <f>Translations!$B$6</f>
        <v>Sheet "Version history"</v>
      </c>
      <c r="O6" s="91"/>
      <c r="P6" s="92"/>
      <c r="R6" s="94"/>
      <c r="S6" s="94"/>
      <c r="T6" s="94"/>
      <c r="U6" s="94"/>
    </row>
    <row r="7" spans="1:21" x14ac:dyDescent="0.2">
      <c r="P7" s="92"/>
    </row>
    <row r="8" spans="1:21" ht="12.75" customHeight="1" x14ac:dyDescent="0.2">
      <c r="E8" s="144" t="str">
        <f>Translations!$B$7</f>
        <v>Version</v>
      </c>
      <c r="F8" s="144" t="str">
        <f>Translations!$B$8</f>
        <v>Date</v>
      </c>
      <c r="G8" s="1069" t="str">
        <f>Translations!$B$9</f>
        <v>Description</v>
      </c>
      <c r="H8" s="1069"/>
      <c r="I8" s="1069"/>
      <c r="J8" s="1069"/>
      <c r="K8" s="1069"/>
      <c r="L8" s="1069"/>
      <c r="M8" s="1069"/>
      <c r="N8" s="1069"/>
      <c r="P8" s="92"/>
    </row>
    <row r="9" spans="1:21" ht="12.75" customHeight="1" x14ac:dyDescent="0.2">
      <c r="A9" s="97"/>
      <c r="B9" s="98"/>
      <c r="C9" s="99"/>
      <c r="D9" s="1058"/>
      <c r="E9" s="1059" t="s">
        <v>3</v>
      </c>
      <c r="F9" s="1060">
        <v>45159</v>
      </c>
      <c r="G9" s="1070" t="s">
        <v>4</v>
      </c>
      <c r="H9" s="1071"/>
      <c r="I9" s="1071"/>
      <c r="J9" s="1071"/>
      <c r="K9" s="1071"/>
      <c r="L9" s="1071"/>
      <c r="M9" s="1071"/>
      <c r="N9" s="1071"/>
      <c r="P9" s="92"/>
    </row>
    <row r="10" spans="1:21" ht="80.099999999999994" customHeight="1" x14ac:dyDescent="0.2">
      <c r="E10" s="1059" t="s">
        <v>5</v>
      </c>
      <c r="F10" s="1060">
        <v>45222</v>
      </c>
      <c r="G10" s="1072" t="s">
        <v>6</v>
      </c>
      <c r="H10" s="1071"/>
      <c r="I10" s="1071"/>
      <c r="J10" s="1071"/>
      <c r="K10" s="1071"/>
      <c r="L10" s="1071"/>
      <c r="M10" s="1071"/>
      <c r="N10" s="1071"/>
      <c r="P10" s="92"/>
    </row>
    <row r="11" spans="1:21" ht="12.75" customHeight="1" x14ac:dyDescent="0.2">
      <c r="E11" s="1059"/>
      <c r="F11" s="1060"/>
      <c r="G11" s="1066"/>
      <c r="H11" s="1067"/>
      <c r="I11" s="1067"/>
      <c r="J11" s="1067"/>
      <c r="K11" s="1067"/>
      <c r="L11" s="1067"/>
      <c r="M11" s="1067"/>
      <c r="N11" s="1067"/>
      <c r="P11" s="92"/>
    </row>
    <row r="12" spans="1:21" ht="12.75" customHeight="1" x14ac:dyDescent="0.2">
      <c r="E12" s="1059"/>
      <c r="F12" s="1060"/>
      <c r="G12" s="1066"/>
      <c r="H12" s="1067"/>
      <c r="I12" s="1067"/>
      <c r="J12" s="1067"/>
      <c r="K12" s="1067"/>
      <c r="L12" s="1067"/>
      <c r="M12" s="1067"/>
      <c r="N12" s="1067"/>
      <c r="P12" s="92"/>
    </row>
    <row r="13" spans="1:21" ht="12.75" customHeight="1" x14ac:dyDescent="0.2">
      <c r="E13" s="1059"/>
      <c r="F13" s="1060"/>
      <c r="G13" s="1066"/>
      <c r="H13" s="1067"/>
      <c r="I13" s="1067"/>
      <c r="J13" s="1067"/>
      <c r="K13" s="1067"/>
      <c r="L13" s="1067"/>
      <c r="M13" s="1067"/>
      <c r="N13" s="1067"/>
      <c r="P13" s="92"/>
    </row>
    <row r="14" spans="1:21" ht="12.75" customHeight="1" x14ac:dyDescent="0.2">
      <c r="E14" s="1059"/>
      <c r="F14" s="1060"/>
      <c r="G14" s="1066"/>
      <c r="H14" s="1067"/>
      <c r="I14" s="1067"/>
      <c r="J14" s="1067"/>
      <c r="K14" s="1067"/>
      <c r="L14" s="1067"/>
      <c r="M14" s="1067"/>
      <c r="N14" s="1067"/>
      <c r="P14" s="92"/>
    </row>
    <row r="15" spans="1:21" ht="12.75" customHeight="1" x14ac:dyDescent="0.2">
      <c r="E15" s="1059"/>
      <c r="F15" s="1060"/>
      <c r="G15" s="1066"/>
      <c r="H15" s="1067"/>
      <c r="I15" s="1067"/>
      <c r="J15" s="1067"/>
      <c r="K15" s="1067"/>
      <c r="L15" s="1067"/>
      <c r="M15" s="1067"/>
      <c r="N15" s="1067"/>
      <c r="P15" s="92"/>
    </row>
    <row r="16" spans="1:21" ht="12.75" customHeight="1" x14ac:dyDescent="0.2">
      <c r="E16" s="1059"/>
      <c r="F16" s="1060"/>
      <c r="G16" s="1066"/>
      <c r="H16" s="1067"/>
      <c r="I16" s="1067"/>
      <c r="J16" s="1067"/>
      <c r="K16" s="1067"/>
      <c r="L16" s="1067"/>
      <c r="M16" s="1067"/>
      <c r="N16" s="1067"/>
      <c r="P16" s="92"/>
    </row>
    <row r="17" spans="1:16" ht="12.75" customHeight="1" x14ac:dyDescent="0.2">
      <c r="E17" s="1059"/>
      <c r="F17" s="1060"/>
      <c r="G17" s="1066"/>
      <c r="H17" s="1067"/>
      <c r="I17" s="1067"/>
      <c r="J17" s="1067"/>
      <c r="K17" s="1067"/>
      <c r="L17" s="1067"/>
      <c r="M17" s="1067"/>
      <c r="N17" s="1067"/>
      <c r="P17" s="92"/>
    </row>
    <row r="18" spans="1:16" ht="12.75" customHeight="1" x14ac:dyDescent="0.2">
      <c r="P18" s="92"/>
    </row>
    <row r="19" spans="1:16" ht="12.75" customHeight="1" thickBot="1" x14ac:dyDescent="0.25">
      <c r="A19" s="97"/>
      <c r="B19" s="1062"/>
      <c r="C19" s="1063"/>
      <c r="D19" s="1064"/>
      <c r="E19" s="1064"/>
      <c r="F19" s="1064"/>
      <c r="G19" s="1064"/>
      <c r="H19" s="1064"/>
      <c r="I19" s="1064"/>
      <c r="J19" s="1064"/>
      <c r="K19" s="1064"/>
      <c r="L19" s="1064"/>
      <c r="M19" s="1064"/>
      <c r="N19" s="1064"/>
      <c r="O19" s="1065"/>
      <c r="P19" s="92"/>
    </row>
    <row r="20" spans="1:16" s="89" customFormat="1" ht="12.75" hidden="1" customHeight="1" x14ac:dyDescent="0.25">
      <c r="A20" s="89" t="s">
        <v>0</v>
      </c>
      <c r="P20" s="90" t="s">
        <v>7</v>
      </c>
    </row>
  </sheetData>
  <sheetProtection sheet="1" objects="1" scenarios="1" formatCells="0" formatColumns="0" formatRows="0"/>
  <mergeCells count="26">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1:N11"/>
    <mergeCell ref="G17:N17"/>
    <mergeCell ref="G16:N16"/>
    <mergeCell ref="G12:N12"/>
    <mergeCell ref="G13:N13"/>
    <mergeCell ref="G14:N14"/>
    <mergeCell ref="G15:N15"/>
  </mergeCells>
  <phoneticPr fontId="68" type="noConversion"/>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topLeftCell="B1" zoomScaleNormal="100" workbookViewId="0">
      <pane ySplit="4" topLeftCell="A43" activePane="bottomLeft" state="frozen"/>
      <selection sqref="A1:XFD1048576"/>
      <selection pane="bottomLeft" activeCell="D81" sqref="D81"/>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Translations!$B$288</f>
        <v>Tools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ADDRESS(ROW($B$2),COLUMN(B2)) &amp; ":" &amp; ADDRESS(MATCH("PRINT",$P:$P,0),COLUMN(O4))</f>
        <v>$B$2:$O$131</v>
      </c>
      <c r="T2" s="89" t="s">
        <v>2</v>
      </c>
      <c r="U2" s="102" t="str">
        <f ca="1">IF(ISERROR(CELL("filename",V2)),"MSParameters",MID(CELL("filename",V2),FIND("]",CELL("filename",V2))+1,1024))</f>
        <v>F_Tools</v>
      </c>
    </row>
    <row r="3" spans="1:24" ht="14.1" customHeight="1" x14ac:dyDescent="0.25">
      <c r="B3" s="1076"/>
      <c r="C3" s="1077"/>
      <c r="D3" s="1078"/>
      <c r="E3" s="1068"/>
      <c r="F3" s="1068"/>
      <c r="G3" s="1068" t="str">
        <f>IFERROR(HYPERLINK("#"&amp;ADDRESS(ROW($A$1)+MATCH(R3,$A:$A,0)-1,3),INDEX($R:$R,MATCH(R3,$A:$A,0))),"")</f>
        <v>Cogeneration Tool</v>
      </c>
      <c r="H3" s="1068"/>
      <c r="I3" s="1068" t="str">
        <f>IFERROR(HYPERLINK("#"&amp;ADDRESS(ROW($A$1)+MATCH(T3,$A:$A,0)-1,3),INDEX($R:$R,MATCH(T3,$A:$A,0))),"")</f>
        <v>Tool for carbon price due</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x14ac:dyDescent="0.3">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x14ac:dyDescent="0.25"/>
    <row r="6" spans="1:24" ht="25.5" customHeight="1" x14ac:dyDescent="0.25">
      <c r="C6" s="106" t="s">
        <v>17</v>
      </c>
      <c r="E6" s="106" t="str">
        <f>Translations!$B$289</f>
        <v>Sheet "F_Tools" - Tools for facilitating reporting</v>
      </c>
      <c r="R6" s="105" t="s">
        <v>19</v>
      </c>
      <c r="S6" s="105" t="s">
        <v>20</v>
      </c>
      <c r="T6" s="126"/>
      <c r="U6" s="126"/>
      <c r="V6" s="105" t="str">
        <f>Translations!$B$66</f>
        <v>Errors</v>
      </c>
      <c r="W6" s="126"/>
      <c r="X6" s="105" t="s">
        <v>21</v>
      </c>
    </row>
    <row r="7" spans="1:24" ht="5.0999999999999996" customHeight="1" x14ac:dyDescent="0.25"/>
    <row r="8" spans="1:24" ht="18" customHeight="1" x14ac:dyDescent="0.25">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x14ac:dyDescent="0.2">
      <c r="C9" s="24"/>
      <c r="D9" s="24"/>
      <c r="E9" s="24"/>
      <c r="F9" s="24"/>
      <c r="G9" s="24"/>
      <c r="H9" s="24"/>
      <c r="I9" s="24"/>
      <c r="J9" s="24"/>
      <c r="K9" s="24"/>
      <c r="L9" s="24"/>
      <c r="M9" s="12"/>
      <c r="N9" s="12"/>
    </row>
    <row r="10" spans="1:24" ht="12.75" customHeight="1" x14ac:dyDescent="0.2">
      <c r="C10" s="24"/>
      <c r="D10" s="368"/>
      <c r="E10" s="1219" t="str">
        <f>Translations!$B$291</f>
        <v>This is a tool for attributing fuels and emissions of CHPs to heat and electricity output.</v>
      </c>
      <c r="F10" s="1220"/>
      <c r="G10" s="1220"/>
      <c r="H10" s="1220"/>
      <c r="I10" s="1220"/>
      <c r="J10" s="1220"/>
      <c r="K10" s="1220"/>
      <c r="L10" s="1220"/>
      <c r="M10" s="1220"/>
      <c r="N10" s="1220"/>
    </row>
    <row r="11" spans="1:24" ht="12.75" customHeight="1" x14ac:dyDescent="0.2">
      <c r="C11" s="24"/>
      <c r="D11" s="369"/>
      <c r="E11" s="1219" t="str">
        <f>Translations!$B$292</f>
        <v>This tool exists twofold in this template and each tool should only be used for one CHP. If more CHPs are relevant, you must aggregate energy amounts and emissions from multiple CHPs.</v>
      </c>
      <c r="F11" s="1220"/>
      <c r="G11" s="1220"/>
      <c r="H11" s="1220"/>
      <c r="I11" s="1220"/>
      <c r="J11" s="1220"/>
      <c r="K11" s="1220"/>
      <c r="L11" s="1220"/>
      <c r="M11" s="1220"/>
      <c r="N11" s="1220"/>
    </row>
    <row r="12" spans="1:24" ht="25.5" customHeight="1" x14ac:dyDescent="0.2">
      <c r="C12" s="24"/>
      <c r="D12" s="369"/>
      <c r="E12" s="121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20"/>
      <c r="G12" s="1220"/>
      <c r="H12" s="1220"/>
      <c r="I12" s="1220"/>
      <c r="J12" s="1220"/>
      <c r="K12" s="1220"/>
      <c r="L12" s="1220"/>
      <c r="M12" s="1220"/>
      <c r="N12" s="1220"/>
    </row>
    <row r="13" spans="1:24" ht="5.0999999999999996" customHeight="1" x14ac:dyDescent="0.2">
      <c r="C13" s="24"/>
      <c r="D13" s="24"/>
      <c r="E13" s="24"/>
      <c r="F13" s="24"/>
      <c r="G13" s="24"/>
      <c r="H13" s="24"/>
      <c r="I13" s="24"/>
      <c r="J13" s="24"/>
      <c r="K13" s="24"/>
      <c r="L13" s="24"/>
      <c r="M13" s="12"/>
      <c r="N13" s="12"/>
    </row>
    <row r="14" spans="1:24" ht="12.75" customHeight="1" x14ac:dyDescent="0.25">
      <c r="C14" s="331">
        <v>1</v>
      </c>
      <c r="D14" s="1208" t="str">
        <f>Translations!$B$294</f>
        <v>Tool to calculate the emissions attributable to heat production in combined heat and power units (CHP)</v>
      </c>
      <c r="E14" s="1209"/>
      <c r="F14" s="1209"/>
      <c r="G14" s="1209"/>
      <c r="H14" s="1209"/>
      <c r="I14" s="1209"/>
      <c r="J14" s="1209"/>
      <c r="K14" s="1209"/>
      <c r="L14" s="1209"/>
      <c r="M14" s="1209"/>
      <c r="N14" s="1209"/>
    </row>
    <row r="15" spans="1:24" ht="5.0999999999999996" customHeight="1" x14ac:dyDescent="0.2">
      <c r="C15" s="24"/>
      <c r="D15" s="24"/>
      <c r="E15" s="24"/>
      <c r="F15" s="24"/>
      <c r="G15" s="24"/>
      <c r="H15" s="24"/>
      <c r="I15" s="24"/>
      <c r="J15" s="24"/>
      <c r="K15" s="24"/>
      <c r="L15" s="24"/>
      <c r="M15" s="12"/>
      <c r="N15" s="12"/>
    </row>
    <row r="16" spans="1:24" ht="12.75" customHeight="1" x14ac:dyDescent="0.2">
      <c r="C16" s="24"/>
      <c r="D16" s="318" t="s">
        <v>1252</v>
      </c>
      <c r="E16" s="1123" t="str">
        <f>Translations!$B$295</f>
        <v>Total amount of fuel input into CHP units</v>
      </c>
      <c r="F16" s="1123"/>
      <c r="G16" s="1123"/>
      <c r="H16" s="1123"/>
      <c r="I16" s="1123"/>
      <c r="J16" s="1123"/>
      <c r="K16" s="1123"/>
      <c r="L16" s="1123"/>
      <c r="M16" s="1123"/>
      <c r="N16" s="1123"/>
    </row>
    <row r="17" spans="1:24" ht="12.75" customHeight="1" x14ac:dyDescent="0.2">
      <c r="C17" s="24"/>
      <c r="D17" s="24"/>
      <c r="E17" s="1124" t="str">
        <f>Translations!$B$296</f>
        <v>Please enter here the annual fuel input into the CHP unit, the net amount of heat produced and the net amount of electricity (or mechanical energy, where applicable) produced by the CHP.</v>
      </c>
      <c r="F17" s="1097"/>
      <c r="G17" s="1097"/>
      <c r="H17" s="1097"/>
      <c r="I17" s="1097"/>
      <c r="J17" s="1097"/>
      <c r="K17" s="1097"/>
      <c r="L17" s="1097"/>
      <c r="M17" s="1097"/>
      <c r="N17" s="1097"/>
    </row>
    <row r="18" spans="1:24" ht="5.0999999999999996" customHeight="1" x14ac:dyDescent="0.2">
      <c r="C18" s="24"/>
    </row>
    <row r="19" spans="1:24" s="113" customFormat="1" ht="38.85" customHeight="1" x14ac:dyDescent="0.2">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x14ac:dyDescent="0.2">
      <c r="C20" s="317"/>
      <c r="D20" s="317"/>
      <c r="E20" s="358"/>
      <c r="F20" s="113"/>
      <c r="I20" s="364" t="str">
        <f>Translations!$B$221</f>
        <v>Unit</v>
      </c>
      <c r="J20" s="359" t="str">
        <f>CONST_TJ</f>
        <v>TJ</v>
      </c>
      <c r="K20" s="359" t="str">
        <f>CONST_TJ</f>
        <v>TJ</v>
      </c>
      <c r="L20" s="359" t="str">
        <f>CONST_MWh</f>
        <v>MWh</v>
      </c>
      <c r="M20" s="359" t="str">
        <f>CONST_TJ</f>
        <v>TJ</v>
      </c>
    </row>
    <row r="21" spans="1:24" ht="12.75" customHeight="1" x14ac:dyDescent="0.25">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x14ac:dyDescent="0.25">
      <c r="C22" s="317"/>
      <c r="D22" s="317"/>
      <c r="E22" s="317"/>
      <c r="F22" s="317"/>
      <c r="G22" s="317"/>
      <c r="H22" s="317"/>
    </row>
    <row r="23" spans="1:24" ht="12.75" customHeight="1" x14ac:dyDescent="0.2">
      <c r="C23" s="24"/>
      <c r="D23" s="318" t="s">
        <v>1253</v>
      </c>
      <c r="E23" s="1123" t="str">
        <f>Translations!$B$302</f>
        <v>Total emissions from CHP</v>
      </c>
      <c r="F23" s="1123"/>
      <c r="G23" s="1123"/>
      <c r="H23" s="1123"/>
      <c r="I23" s="1123"/>
      <c r="J23" s="1123"/>
      <c r="K23" s="1123"/>
      <c r="L23" s="1123"/>
      <c r="M23" s="1123"/>
      <c r="N23" s="1123"/>
    </row>
    <row r="24" spans="1:24" ht="12.75" customHeight="1" x14ac:dyDescent="0.2">
      <c r="C24" s="24"/>
      <c r="D24" s="317"/>
      <c r="E24" s="1210" t="str">
        <f>Translations!$B$303</f>
        <v>Values should distinguish between emissions from fuel input and from flue gas cleaning.</v>
      </c>
      <c r="F24" s="1097"/>
      <c r="G24" s="1097"/>
      <c r="H24" s="1097"/>
      <c r="I24" s="1097"/>
      <c r="J24" s="1097"/>
      <c r="K24" s="1097"/>
      <c r="L24" s="1097"/>
      <c r="M24" s="1097"/>
      <c r="N24" s="1097"/>
    </row>
    <row r="25" spans="1:24" ht="38.85" customHeight="1" x14ac:dyDescent="0.2">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x14ac:dyDescent="0.25">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x14ac:dyDescent="0.25">
      <c r="C27" s="317"/>
      <c r="D27" s="317"/>
      <c r="E27" s="317"/>
      <c r="F27" s="317"/>
      <c r="G27" s="317"/>
      <c r="H27" s="317"/>
      <c r="I27" s="317"/>
      <c r="J27" s="317"/>
      <c r="K27" s="317"/>
      <c r="L27" s="317"/>
      <c r="M27" s="317"/>
      <c r="N27" s="317"/>
    </row>
    <row r="28" spans="1:24" ht="12.75" customHeight="1" x14ac:dyDescent="0.25">
      <c r="C28" s="317"/>
      <c r="D28" s="318" t="s">
        <v>1254</v>
      </c>
      <c r="E28" s="1123" t="str">
        <f>Translations!$B$308</f>
        <v>Default efficiencies:</v>
      </c>
      <c r="F28" s="1123"/>
      <c r="G28" s="1123"/>
      <c r="H28" s="1123"/>
      <c r="I28" s="1123"/>
      <c r="J28" s="321" t="str">
        <f>Translations!$B$309</f>
        <v>Heat:</v>
      </c>
      <c r="K28" s="322">
        <v>0.55000000000000004</v>
      </c>
      <c r="L28" s="321" t="str">
        <f>Translations!$B$310</f>
        <v>Electricity:</v>
      </c>
      <c r="M28" s="322">
        <v>0.25</v>
      </c>
    </row>
    <row r="29" spans="1:24" ht="5.0999999999999996" customHeight="1" x14ac:dyDescent="0.25">
      <c r="C29" s="317"/>
      <c r="D29" s="317"/>
      <c r="E29" s="317"/>
      <c r="F29" s="317"/>
      <c r="G29" s="317"/>
      <c r="H29" s="317"/>
    </row>
    <row r="30" spans="1:24" ht="12.75" customHeight="1" x14ac:dyDescent="0.2">
      <c r="C30" s="24"/>
      <c r="D30" s="318" t="s">
        <v>1334</v>
      </c>
      <c r="E30" s="1123" t="str">
        <f>Translations!$B$311</f>
        <v>Efficiencies for heat and electricity</v>
      </c>
      <c r="F30" s="1221"/>
      <c r="G30" s="1221"/>
      <c r="H30" s="1221"/>
      <c r="I30" s="1221"/>
      <c r="J30" s="1221"/>
      <c r="K30" s="1221"/>
      <c r="L30" s="1221"/>
      <c r="M30" s="1221"/>
      <c r="N30" s="1221"/>
    </row>
    <row r="31" spans="1:24" ht="12.75" customHeight="1" x14ac:dyDescent="0.2">
      <c r="C31" s="24"/>
      <c r="D31" s="317"/>
      <c r="E31" s="1210" t="str">
        <f>Translations!$B$312</f>
        <v>These values are dimensionless and automatically calculated from inputs in (a) to (c) above.</v>
      </c>
      <c r="F31" s="1097"/>
      <c r="G31" s="1097"/>
      <c r="H31" s="1097"/>
      <c r="I31" s="1097"/>
      <c r="J31" s="1097"/>
      <c r="K31" s="1097"/>
      <c r="L31" s="1097"/>
      <c r="M31" s="1097"/>
      <c r="N31" s="1097"/>
    </row>
    <row r="32" spans="1:24" ht="25.5" customHeight="1" x14ac:dyDescent="0.2">
      <c r="C32" s="24"/>
      <c r="D32" s="317"/>
      <c r="E32" s="121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097"/>
      <c r="G32" s="1097"/>
      <c r="H32" s="1097"/>
      <c r="I32" s="1097"/>
      <c r="J32" s="1097"/>
      <c r="K32" s="1097"/>
      <c r="L32" s="1097"/>
      <c r="M32" s="1097"/>
      <c r="N32" s="1097"/>
    </row>
    <row r="33" spans="3:14" ht="38.85" customHeight="1" x14ac:dyDescent="0.2">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x14ac:dyDescent="0.25">
      <c r="C34" s="317"/>
      <c r="D34" s="317"/>
      <c r="E34" s="172" t="str">
        <f>Translations!$B$317</f>
        <v>Efficiencies</v>
      </c>
      <c r="F34" s="365"/>
      <c r="G34" s="365"/>
      <c r="H34" s="365"/>
      <c r="I34" s="240" t="s">
        <v>1329</v>
      </c>
      <c r="J34" s="370" t="str">
        <f>IF(AND(ISNUMBER(J21),ISNUMBER(K21)),IF(J21=0,0,K21/J21),IF(ISNUMBER(L26),$K28,""))</f>
        <v/>
      </c>
      <c r="K34" s="370" t="str">
        <f>IF(AND(ISNUMBER(J21),ISNUMBER(M21)),IF(J21=0,0,M21/J21),IF(ISNUMBER(L26),$M28,""))</f>
        <v/>
      </c>
      <c r="L34" s="370" t="str">
        <f>IF(COUNT(J34:K34)&gt;0,SUM(J34:K34),"")</f>
        <v/>
      </c>
    </row>
    <row r="35" spans="3:14" ht="5.0999999999999996" customHeight="1" x14ac:dyDescent="0.25">
      <c r="C35" s="317"/>
      <c r="D35" s="317"/>
      <c r="E35" s="317"/>
      <c r="F35" s="317"/>
      <c r="G35" s="317"/>
      <c r="H35" s="317"/>
    </row>
    <row r="36" spans="3:14" ht="12.75" customHeight="1" x14ac:dyDescent="0.2">
      <c r="C36" s="24"/>
      <c r="D36" s="318" t="s">
        <v>1335</v>
      </c>
      <c r="E36" s="1123" t="str">
        <f>Translations!$B$318</f>
        <v>Reference efficiencies</v>
      </c>
      <c r="F36" s="1221"/>
      <c r="G36" s="1221"/>
      <c r="H36" s="1221"/>
      <c r="I36" s="1221"/>
      <c r="J36" s="1221"/>
      <c r="K36" s="1221"/>
      <c r="L36" s="1221"/>
      <c r="M36" s="1221"/>
      <c r="N36" s="1221"/>
    </row>
    <row r="37" spans="3:14" ht="12.75" customHeight="1" x14ac:dyDescent="0.2">
      <c r="C37" s="24"/>
      <c r="D37" s="317"/>
      <c r="E37" s="1210" t="str">
        <f>Translations!$B$319</f>
        <v xml:space="preserve">These are the reference efficiency for heat production in a stand-alone boiler, and the reference efficiency of electricity production without cogeneration. </v>
      </c>
      <c r="F37" s="1097"/>
      <c r="G37" s="1097"/>
      <c r="H37" s="1097"/>
      <c r="I37" s="1097"/>
      <c r="J37" s="1097"/>
      <c r="K37" s="1097"/>
      <c r="L37" s="1097"/>
      <c r="M37" s="1097"/>
      <c r="N37" s="1097"/>
    </row>
    <row r="38" spans="3:14" ht="12.75" customHeight="1" x14ac:dyDescent="0.2">
      <c r="C38" s="24"/>
      <c r="D38" s="317"/>
      <c r="E38" s="1210" t="str">
        <f>Translations!$B$320</f>
        <v>For the reference efficiencies the appropriate fuel-specific values from Annex IX of the Commission Implementing Regulation pursuant to Article 35(7) of the CBAM Regulation.</v>
      </c>
      <c r="F38" s="1097"/>
      <c r="G38" s="1097"/>
      <c r="H38" s="1097"/>
      <c r="I38" s="1097"/>
      <c r="J38" s="1097"/>
      <c r="K38" s="1097"/>
      <c r="L38" s="1097"/>
      <c r="M38" s="1097"/>
      <c r="N38" s="1097"/>
    </row>
    <row r="39" spans="3:14" ht="12.75" customHeight="1" x14ac:dyDescent="0.2">
      <c r="C39" s="24"/>
      <c r="D39" s="317"/>
      <c r="E39" s="1210" t="str">
        <f>Translations!$B$321</f>
        <v>Default efficiencies below are for hard coal CHPs producing electricity and hot water.</v>
      </c>
      <c r="F39" s="1097"/>
      <c r="G39" s="1097"/>
      <c r="H39" s="1097"/>
      <c r="I39" s="1097"/>
      <c r="J39" s="1097"/>
      <c r="K39" s="1097"/>
      <c r="L39" s="1097"/>
      <c r="M39" s="1097"/>
      <c r="N39" s="1097"/>
    </row>
    <row r="40" spans="3:14" ht="38.85" customHeight="1" x14ac:dyDescent="0.2">
      <c r="C40" s="317"/>
      <c r="D40" s="317"/>
      <c r="E40" s="319"/>
      <c r="F40" s="324"/>
      <c r="I40" s="360" t="str">
        <f>Translations!$B$221</f>
        <v>Unit</v>
      </c>
      <c r="J40" s="361" t="str">
        <f>Translations!$B$314</f>
        <v>Heat production</v>
      </c>
      <c r="K40" s="361" t="str">
        <f>Translations!$B$315</f>
        <v>Electricity production</v>
      </c>
    </row>
    <row r="41" spans="3:14" ht="12.75" customHeight="1" x14ac:dyDescent="0.25">
      <c r="C41" s="317"/>
      <c r="D41" s="317"/>
      <c r="E41" s="172" t="str">
        <f>Translations!$B$318</f>
        <v>Reference efficiencies</v>
      </c>
      <c r="F41" s="365"/>
      <c r="G41" s="365"/>
      <c r="H41" s="365"/>
      <c r="I41" s="240" t="s">
        <v>1329</v>
      </c>
      <c r="J41" s="367">
        <v>0.88</v>
      </c>
      <c r="K41" s="367">
        <v>0.442</v>
      </c>
    </row>
    <row r="42" spans="3:14" ht="5.0999999999999996" customHeight="1" x14ac:dyDescent="0.25">
      <c r="C42" s="317"/>
      <c r="D42" s="317"/>
      <c r="E42" s="317"/>
      <c r="F42" s="317"/>
      <c r="G42" s="317"/>
      <c r="H42" s="317"/>
    </row>
    <row r="43" spans="3:14" ht="12.75" customHeight="1" x14ac:dyDescent="0.2">
      <c r="C43" s="24"/>
      <c r="D43" s="318" t="s">
        <v>1336</v>
      </c>
      <c r="E43" s="1123" t="str">
        <f>Translations!$B$322</f>
        <v>Emissions attributable to heat production from CHP</v>
      </c>
      <c r="F43" s="1221"/>
      <c r="G43" s="1221"/>
      <c r="H43" s="1221"/>
      <c r="I43" s="1221"/>
      <c r="J43" s="1221"/>
      <c r="K43" s="1221"/>
      <c r="L43" s="1221"/>
      <c r="M43" s="1221"/>
      <c r="N43" s="1221"/>
    </row>
    <row r="44" spans="3:14" ht="12.75" customHeight="1" x14ac:dyDescent="0.2">
      <c r="C44" s="24"/>
      <c r="D44" s="317"/>
      <c r="E44" s="1210" t="str">
        <f>Translations!$B$323</f>
        <v>This is the final result of this tool. The values displayed here should be entered in sheets D or E for the attributable emissions for the appropriate production process or precursor.</v>
      </c>
      <c r="F44" s="1097"/>
      <c r="G44" s="1097"/>
      <c r="H44" s="1097"/>
      <c r="I44" s="1097"/>
      <c r="J44" s="1097"/>
      <c r="K44" s="1097"/>
      <c r="L44" s="1097"/>
      <c r="M44" s="1097"/>
      <c r="N44" s="1097"/>
    </row>
    <row r="45" spans="3:14" ht="12.75" customHeight="1" x14ac:dyDescent="0.2">
      <c r="C45" s="24"/>
      <c r="D45" s="317"/>
      <c r="E45" s="1210" t="str">
        <f>Translations!$B$324</f>
        <v>For example, this may include attributable emissions to be taken into account for the total direct emissions, or use of the emission factor for any measurable heat imported.</v>
      </c>
      <c r="F45" s="1097"/>
      <c r="G45" s="1097"/>
      <c r="H45" s="1097"/>
      <c r="I45" s="1097"/>
      <c r="J45" s="1097"/>
      <c r="K45" s="1097"/>
      <c r="L45" s="1097"/>
      <c r="M45" s="1097"/>
      <c r="N45" s="1097"/>
    </row>
    <row r="46" spans="3:14" ht="12.75" customHeight="1" x14ac:dyDescent="0.2">
      <c r="C46" s="24"/>
      <c r="D46" s="317"/>
      <c r="E46" s="1210" t="str">
        <f>Translations!$B$325</f>
        <v>Calculation results can only be considered correct if complete and consistent data is reported in sections above.</v>
      </c>
      <c r="F46" s="1097"/>
      <c r="G46" s="1097"/>
      <c r="H46" s="1097"/>
      <c r="I46" s="1097"/>
      <c r="J46" s="1097"/>
      <c r="K46" s="1097"/>
      <c r="L46" s="1097"/>
      <c r="M46" s="1097"/>
      <c r="N46" s="1097"/>
    </row>
    <row r="47" spans="3:14" ht="38.85" customHeight="1" x14ac:dyDescent="0.2">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x14ac:dyDescent="0.2">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x14ac:dyDescent="0.25">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x14ac:dyDescent="0.25">
      <c r="C50" s="317"/>
      <c r="D50" s="317"/>
      <c r="E50" s="317"/>
      <c r="F50" s="317"/>
      <c r="G50" s="317"/>
      <c r="H50" s="317"/>
    </row>
    <row r="51" spans="1:24" ht="12.75" customHeight="1" x14ac:dyDescent="0.2">
      <c r="C51" s="24"/>
      <c r="D51" s="318" t="s">
        <v>1337</v>
      </c>
      <c r="E51" s="1123" t="str">
        <f>Translations!$B$331</f>
        <v>Fuel input attributable to heat and electricity production</v>
      </c>
      <c r="F51" s="1221"/>
      <c r="G51" s="1221"/>
      <c r="H51" s="1221"/>
      <c r="I51" s="1221"/>
      <c r="J51" s="1221"/>
      <c r="K51" s="1221"/>
      <c r="L51" s="1221"/>
      <c r="M51" s="1221"/>
      <c r="N51" s="1221"/>
    </row>
    <row r="52" spans="1:24" ht="12.75" customHeight="1" x14ac:dyDescent="0.2">
      <c r="C52" s="24"/>
      <c r="D52" s="317"/>
      <c r="E52" s="1210" t="str">
        <f>Translations!$B$332</f>
        <v>This is the final result of this tool. The values displayed here should be used in section C.1.</v>
      </c>
      <c r="F52" s="1097"/>
      <c r="G52" s="1097"/>
      <c r="H52" s="1097"/>
      <c r="I52" s="1097"/>
      <c r="J52" s="1097"/>
      <c r="K52" s="1097"/>
      <c r="L52" s="1097"/>
      <c r="M52" s="1097"/>
      <c r="N52" s="1097"/>
    </row>
    <row r="53" spans="1:24" ht="38.85" customHeight="1" x14ac:dyDescent="0.2">
      <c r="C53" s="317"/>
      <c r="D53" s="317"/>
      <c r="E53" s="319"/>
      <c r="F53" s="324"/>
      <c r="I53" s="360" t="str">
        <f>Translations!$B$221</f>
        <v>Unit</v>
      </c>
      <c r="J53" s="361" t="str">
        <f>Translations!$B$333</f>
        <v>Fuel input for heat</v>
      </c>
      <c r="K53" s="361" t="str">
        <f>Translations!$B$334</f>
        <v>Fuel input for electricity</v>
      </c>
    </row>
    <row r="54" spans="1:24" ht="12.75" customHeight="1" x14ac:dyDescent="0.25">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x14ac:dyDescent="0.2">
      <c r="D55" s="103"/>
      <c r="E55" s="113"/>
      <c r="F55" s="113"/>
      <c r="G55" s="113"/>
      <c r="H55" s="113"/>
      <c r="I55" s="113"/>
      <c r="J55" s="113"/>
      <c r="K55" s="113"/>
      <c r="L55" s="113"/>
      <c r="M55" s="113"/>
      <c r="S55" s="112"/>
    </row>
    <row r="56" spans="1:24" ht="5.0999999999999996" customHeight="1" x14ac:dyDescent="0.2">
      <c r="C56" s="24"/>
      <c r="D56" s="24"/>
      <c r="E56" s="24"/>
      <c r="F56" s="24"/>
      <c r="G56" s="24"/>
      <c r="H56" s="24"/>
      <c r="I56" s="24"/>
      <c r="J56" s="24"/>
      <c r="K56" s="24"/>
      <c r="L56" s="24"/>
      <c r="M56" s="12"/>
      <c r="N56" s="12"/>
    </row>
    <row r="57" spans="1:24" ht="12.75" customHeight="1" x14ac:dyDescent="0.25">
      <c r="C57" s="331">
        <v>2</v>
      </c>
      <c r="D57" s="1208" t="str">
        <f>Translations!$B$294</f>
        <v>Tool to calculate the emissions attributable to heat production in combined heat and power units (CHP)</v>
      </c>
      <c r="E57" s="1209"/>
      <c r="F57" s="1209"/>
      <c r="G57" s="1209"/>
      <c r="H57" s="1209"/>
      <c r="I57" s="1209"/>
      <c r="J57" s="1209"/>
      <c r="K57" s="1209"/>
      <c r="L57" s="1209"/>
      <c r="M57" s="1209"/>
      <c r="N57" s="1209"/>
    </row>
    <row r="58" spans="1:24" ht="5.0999999999999996" customHeight="1" x14ac:dyDescent="0.2">
      <c r="C58" s="24"/>
      <c r="D58" s="24"/>
      <c r="E58" s="24"/>
      <c r="F58" s="24"/>
      <c r="G58" s="24"/>
      <c r="H58" s="24"/>
      <c r="I58" s="24"/>
      <c r="J58" s="24"/>
      <c r="K58" s="24"/>
      <c r="L58" s="24"/>
      <c r="M58" s="12"/>
      <c r="N58" s="12"/>
    </row>
    <row r="59" spans="1:24" s="113" customFormat="1" ht="38.85" customHeight="1" x14ac:dyDescent="0.2">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x14ac:dyDescent="0.2">
      <c r="C60" s="317"/>
      <c r="D60" s="318" t="s">
        <v>1252</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x14ac:dyDescent="0.25">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x14ac:dyDescent="0.25">
      <c r="C62" s="317"/>
      <c r="D62" s="317"/>
      <c r="E62" s="317"/>
      <c r="F62" s="317"/>
      <c r="G62" s="317"/>
      <c r="H62" s="317"/>
    </row>
    <row r="63" spans="1:24" ht="38.85" customHeight="1" x14ac:dyDescent="0.2">
      <c r="C63" s="24"/>
      <c r="D63" s="460" t="s">
        <v>1253</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x14ac:dyDescent="0.25">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x14ac:dyDescent="0.25">
      <c r="C65" s="317"/>
      <c r="D65" s="317"/>
      <c r="E65" s="317"/>
      <c r="F65" s="317"/>
      <c r="G65" s="317"/>
      <c r="H65" s="317"/>
      <c r="I65" s="317"/>
      <c r="J65" s="317"/>
      <c r="K65" s="317"/>
      <c r="L65" s="317"/>
      <c r="M65" s="317"/>
      <c r="N65" s="317"/>
    </row>
    <row r="66" spans="3:19" ht="12.75" customHeight="1" x14ac:dyDescent="0.25">
      <c r="C66" s="317"/>
      <c r="D66" s="318" t="s">
        <v>1254</v>
      </c>
      <c r="E66" s="1123" t="str">
        <f>Translations!$B$308</f>
        <v>Default efficiencies:</v>
      </c>
      <c r="F66" s="1123"/>
      <c r="G66" s="1123"/>
      <c r="H66" s="1123"/>
      <c r="I66" s="1123"/>
      <c r="J66" s="321" t="str">
        <f>Translations!$B$309</f>
        <v>Heat:</v>
      </c>
      <c r="K66" s="322">
        <v>0.55000000000000004</v>
      </c>
      <c r="L66" s="321" t="str">
        <f>Translations!$B$310</f>
        <v>Electricity:</v>
      </c>
      <c r="M66" s="322">
        <v>0.25</v>
      </c>
    </row>
    <row r="67" spans="3:19" ht="5.0999999999999996" customHeight="1" x14ac:dyDescent="0.25">
      <c r="C67" s="317"/>
      <c r="D67" s="317"/>
      <c r="E67" s="317"/>
      <c r="F67" s="317"/>
      <c r="G67" s="317"/>
      <c r="H67" s="317"/>
    </row>
    <row r="68" spans="3:19" ht="38.85" customHeight="1" x14ac:dyDescent="0.2">
      <c r="C68" s="317"/>
      <c r="D68" s="460" t="s">
        <v>1334</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x14ac:dyDescent="0.25">
      <c r="C69" s="317"/>
      <c r="D69" s="317"/>
      <c r="E69" s="172" t="str">
        <f>Translations!$B$317</f>
        <v>Efficiencies</v>
      </c>
      <c r="F69" s="365"/>
      <c r="G69" s="365"/>
      <c r="H69" s="365"/>
      <c r="I69" s="240" t="s">
        <v>1329</v>
      </c>
      <c r="J69" s="370" t="str">
        <f>IF(AND(ISNUMBER(J61),ISNUMBER(K61)),IF(J61=0,0,K61/J61),IF(ISNUMBER(L64),$K66,""))</f>
        <v/>
      </c>
      <c r="K69" s="370" t="str">
        <f>IF(AND(ISNUMBER(J61),ISNUMBER(M61)),IF(J61=0,0,M61/J61),IF(ISNUMBER(L64),$M66,""))</f>
        <v/>
      </c>
      <c r="L69" s="370" t="str">
        <f>IF(COUNT(J69:K69)&gt;0,SUM(J69:K69),"")</f>
        <v/>
      </c>
    </row>
    <row r="70" spans="3:19" ht="5.0999999999999996" customHeight="1" x14ac:dyDescent="0.25">
      <c r="C70" s="317"/>
      <c r="D70" s="317"/>
      <c r="E70" s="317"/>
      <c r="F70" s="317"/>
      <c r="G70" s="317"/>
      <c r="H70" s="317"/>
    </row>
    <row r="71" spans="3:19" ht="38.85" customHeight="1" x14ac:dyDescent="0.2">
      <c r="C71" s="317"/>
      <c r="D71" s="460" t="s">
        <v>1335</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x14ac:dyDescent="0.25">
      <c r="C72" s="317"/>
      <c r="D72" s="317"/>
      <c r="E72" s="172" t="str">
        <f>Translations!$B$318</f>
        <v>Reference efficiencies</v>
      </c>
      <c r="F72" s="365"/>
      <c r="G72" s="365"/>
      <c r="H72" s="365"/>
      <c r="I72" s="240" t="s">
        <v>1329</v>
      </c>
      <c r="J72" s="367">
        <v>0.88</v>
      </c>
      <c r="K72" s="367">
        <v>0.442</v>
      </c>
    </row>
    <row r="73" spans="3:19" ht="5.0999999999999996" customHeight="1" x14ac:dyDescent="0.25">
      <c r="C73" s="317"/>
      <c r="D73" s="317"/>
      <c r="E73" s="317"/>
      <c r="F73" s="317"/>
      <c r="G73" s="317"/>
      <c r="H73" s="317"/>
    </row>
    <row r="74" spans="3:19" ht="38.85" customHeight="1" x14ac:dyDescent="0.2">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x14ac:dyDescent="0.2">
      <c r="C75" s="317"/>
      <c r="D75" s="553" t="s">
        <v>1336</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x14ac:dyDescent="0.25">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x14ac:dyDescent="0.25">
      <c r="C77" s="317"/>
      <c r="D77" s="317"/>
      <c r="E77" s="317"/>
      <c r="F77" s="317"/>
      <c r="G77" s="317"/>
      <c r="H77" s="317"/>
    </row>
    <row r="78" spans="3:19" ht="38.85" customHeight="1" x14ac:dyDescent="0.2">
      <c r="C78" s="317"/>
      <c r="D78" s="460" t="s">
        <v>1337</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x14ac:dyDescent="0.25">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x14ac:dyDescent="0.2">
      <c r="D80" s="103"/>
      <c r="E80" s="113"/>
      <c r="F80" s="113"/>
      <c r="G80" s="113"/>
      <c r="H80" s="113"/>
      <c r="I80" s="113"/>
      <c r="J80" s="113"/>
      <c r="K80" s="113"/>
      <c r="L80" s="113"/>
      <c r="M80" s="113"/>
      <c r="S80" s="112"/>
    </row>
    <row r="81" spans="1:19" ht="18" customHeight="1" x14ac:dyDescent="0.25">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x14ac:dyDescent="0.2">
      <c r="C82" s="24"/>
      <c r="D82" s="24"/>
      <c r="E82" s="24"/>
      <c r="F82" s="24"/>
      <c r="G82" s="24"/>
      <c r="H82" s="24"/>
      <c r="I82" s="24"/>
      <c r="J82" s="24"/>
      <c r="K82" s="24"/>
      <c r="L82" s="24"/>
      <c r="M82" s="12"/>
      <c r="N82" s="12"/>
    </row>
    <row r="83" spans="1:19" ht="5.0999999999999996" customHeight="1" x14ac:dyDescent="0.2">
      <c r="C83" s="24"/>
      <c r="D83" s="368"/>
      <c r="E83" s="1219"/>
      <c r="F83" s="1220"/>
      <c r="G83" s="1220"/>
      <c r="H83" s="1220"/>
      <c r="I83" s="1220"/>
      <c r="J83" s="1220"/>
      <c r="K83" s="1220"/>
      <c r="L83" s="1220"/>
      <c r="M83" s="1220"/>
      <c r="N83" s="1220"/>
    </row>
    <row r="84" spans="1:19" ht="25.5" customHeight="1" x14ac:dyDescent="0.2">
      <c r="C84" s="24"/>
      <c r="D84" s="368"/>
      <c r="E84" s="121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20"/>
      <c r="G84" s="1220"/>
      <c r="H84" s="1220"/>
      <c r="I84" s="1220"/>
      <c r="J84" s="1220"/>
      <c r="K84" s="1220"/>
      <c r="L84" s="1220"/>
      <c r="M84" s="1220"/>
      <c r="N84" s="1220"/>
    </row>
    <row r="85" spans="1:19" ht="12.75" customHeight="1" x14ac:dyDescent="0.2">
      <c r="C85" s="24"/>
      <c r="D85" s="368"/>
      <c r="E85" s="1219" t="str">
        <f>Translations!$B$339</f>
        <v>The results obtained here in columns L and M have to be manually entered into the respective fields in sheet "Summary_Products".</v>
      </c>
      <c r="F85" s="1220"/>
      <c r="G85" s="1220"/>
      <c r="H85" s="1220"/>
      <c r="I85" s="1220"/>
      <c r="J85" s="1220"/>
      <c r="K85" s="1220"/>
      <c r="L85" s="1220"/>
      <c r="M85" s="1220"/>
      <c r="N85" s="1220"/>
    </row>
    <row r="86" spans="1:19" ht="12.75" customHeight="1" x14ac:dyDescent="0.2">
      <c r="C86" s="24"/>
      <c r="D86" s="368"/>
      <c r="E86" s="1223" t="str">
        <f>Translations!$B$340</f>
        <v>The following conditions apply:</v>
      </c>
      <c r="F86" s="1222" t="str">
        <f>Translations!$B$341</f>
        <v>- the carbon price used for each production process has to be converted into one common currency.</v>
      </c>
      <c r="G86" s="1222"/>
      <c r="H86" s="1222"/>
      <c r="I86" s="1222"/>
      <c r="J86" s="1222"/>
      <c r="K86" s="1222"/>
      <c r="L86" s="1222"/>
      <c r="M86" s="1222"/>
      <c r="N86" s="1222"/>
    </row>
    <row r="87" spans="1:19" ht="12.75" customHeight="1" x14ac:dyDescent="0.2">
      <c r="C87" s="24"/>
      <c r="D87" s="368"/>
      <c r="E87" s="1221"/>
      <c r="F87" s="1222" t="str">
        <f>Translations!$B$342</f>
        <v>- the system boundaries of carbon pricing have to be consistent with the boundaries of the production process and precursors.</v>
      </c>
      <c r="G87" s="1221"/>
      <c r="H87" s="1221"/>
      <c r="I87" s="1221"/>
      <c r="J87" s="1221"/>
      <c r="K87" s="1221"/>
      <c r="L87" s="1221"/>
      <c r="M87" s="1221"/>
      <c r="N87" s="1221"/>
    </row>
    <row r="88" spans="1:19" ht="12.75" customHeight="1" x14ac:dyDescent="0.2">
      <c r="C88" s="24"/>
      <c r="D88" s="368"/>
      <c r="E88" s="1219" t="str">
        <f>Translations!$B$343</f>
        <v>If the conditions above are not satisfied, this tool can only be used to support you with the calculation of the carbon price, but results cannot be used directly.</v>
      </c>
      <c r="F88" s="1220"/>
      <c r="G88" s="1220"/>
      <c r="H88" s="1220"/>
      <c r="I88" s="1220"/>
      <c r="J88" s="1220"/>
      <c r="K88" s="1220"/>
      <c r="L88" s="1220"/>
      <c r="M88" s="1220"/>
      <c r="N88" s="1220"/>
    </row>
    <row r="89" spans="1:19" ht="5.0999999999999996" customHeight="1" x14ac:dyDescent="0.2">
      <c r="C89" s="24"/>
      <c r="D89" s="368"/>
      <c r="E89" s="894"/>
      <c r="F89" s="895"/>
      <c r="G89" s="895"/>
      <c r="H89" s="895"/>
      <c r="I89" s="895"/>
      <c r="J89" s="895"/>
      <c r="K89" s="895"/>
      <c r="L89" s="895"/>
      <c r="M89" s="895"/>
      <c r="N89" s="895"/>
    </row>
    <row r="90" spans="1:19" ht="12.75" customHeight="1" x14ac:dyDescent="0.2">
      <c r="D90" s="103"/>
      <c r="E90" s="113"/>
      <c r="F90" s="113"/>
      <c r="G90" s="113"/>
      <c r="H90" s="113"/>
      <c r="I90" s="113"/>
      <c r="J90" s="113"/>
      <c r="K90" s="113"/>
      <c r="L90" s="113"/>
      <c r="M90" s="113"/>
      <c r="S90" s="112"/>
    </row>
    <row r="91" spans="1:19" ht="25.5" customHeight="1" x14ac:dyDescent="0.2">
      <c r="E91" s="245" t="str">
        <f>Translations!$B$1861</f>
        <v>SE (total)</v>
      </c>
      <c r="F91" s="1184" t="str">
        <f>Translations!$B$1862</f>
        <v>Specific direct + indirect emissions of the production process, i.e. excluding any embedded emissions from any precursors consumed in the process.</v>
      </c>
      <c r="G91" s="1184"/>
      <c r="H91" s="1184"/>
      <c r="I91" s="1184"/>
      <c r="J91" s="1184"/>
      <c r="K91" s="1184"/>
      <c r="L91" s="1184"/>
      <c r="M91" s="1185"/>
      <c r="N91" s="1185"/>
      <c r="S91" s="112"/>
    </row>
    <row r="92" spans="1:19" ht="38.25" customHeight="1" x14ac:dyDescent="0.2">
      <c r="E92" s="246" t="str">
        <f>Translations!$B$346</f>
        <v>Share of emissions covered by the carbon price</v>
      </c>
      <c r="F92" s="1186"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7"/>
      <c r="H92" s="1187"/>
      <c r="I92" s="1187"/>
      <c r="J92" s="1187"/>
      <c r="K92" s="1187"/>
      <c r="L92" s="1187"/>
      <c r="M92" s="1187"/>
      <c r="N92" s="1187"/>
      <c r="S92" s="112"/>
    </row>
    <row r="93" spans="1:19" ht="38.25" customHeight="1" x14ac:dyDescent="0.2">
      <c r="E93" s="246" t="str">
        <f>Translations!$B$347</f>
        <v>Carbon price (CP) due</v>
      </c>
      <c r="F93" s="1186"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7"/>
      <c r="H93" s="1187"/>
      <c r="I93" s="1187"/>
      <c r="J93" s="1187"/>
      <c r="K93" s="1187"/>
      <c r="L93" s="1187"/>
      <c r="M93" s="1187"/>
      <c r="N93" s="1187"/>
      <c r="S93" s="112"/>
    </row>
    <row r="94" spans="1:19" ht="25.5" customHeight="1" x14ac:dyDescent="0.2">
      <c r="E94" s="247" t="str">
        <f>Translations!$B$348</f>
        <v>Amount of rebate (local currency)</v>
      </c>
      <c r="F94" s="1188" t="str">
        <f>Translations!$B$1865</f>
        <v>Please enter here the rebate per tonne of CO2e covered by the rebate in the relevant currency. It shall also not include any rebate for any precursors outside the production process to avoid double counting.</v>
      </c>
      <c r="G94" s="1189"/>
      <c r="H94" s="1189"/>
      <c r="I94" s="1189"/>
      <c r="J94" s="1189"/>
      <c r="K94" s="1189"/>
      <c r="L94" s="1189"/>
      <c r="M94" s="1189"/>
      <c r="N94" s="1189"/>
      <c r="S94" s="112"/>
    </row>
    <row r="95" spans="1:19" ht="5.0999999999999996" customHeight="1" x14ac:dyDescent="0.2">
      <c r="N95" s="113"/>
      <c r="S95" s="112"/>
    </row>
    <row r="96" spans="1:19" ht="12.75" customHeight="1" x14ac:dyDescent="0.2">
      <c r="I96" s="137" t="str">
        <f>Translations!$B$1866</f>
        <v>Currency:</v>
      </c>
      <c r="J96" s="831"/>
      <c r="K96" s="91" t="str">
        <f>IF(J96="","",INDEX(CNTR_ListCurrenciesName,MATCH(J96,CNTR_ListCurrenciesCode,0)))</f>
        <v/>
      </c>
      <c r="N96" s="113"/>
      <c r="S96" s="112"/>
    </row>
    <row r="97" spans="4:23" ht="5.0999999999999996" customHeight="1" x14ac:dyDescent="0.2">
      <c r="N97" s="113"/>
      <c r="S97" s="112"/>
    </row>
    <row r="98" spans="4:23" ht="50.1" customHeight="1" x14ac:dyDescent="0.2">
      <c r="D98" s="410"/>
      <c r="E98" s="1206" t="str">
        <f>Translations!$B$120</f>
        <v>Production process</v>
      </c>
      <c r="F98" s="1211" t="str">
        <f>Translations!$B$107</f>
        <v>Aggregated goods category</v>
      </c>
      <c r="G98" s="897" t="str">
        <f>Translations!$B$1861</f>
        <v>SE (total)</v>
      </c>
      <c r="H98" s="1213"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13" t="str">
        <f>Translations!$B$351</f>
        <v>CP due (per t or MWh)</v>
      </c>
      <c r="M98" s="1213" t="str">
        <f>Translations!$B$352</f>
        <v>Rebate (per t or MWh)</v>
      </c>
      <c r="N98" s="1216" t="str">
        <f>Translations!$B$353</f>
        <v>Result: Effective CP due</v>
      </c>
      <c r="S98" s="112"/>
    </row>
    <row r="99" spans="4:23" ht="12.75" customHeight="1" thickBot="1" x14ac:dyDescent="0.25">
      <c r="D99" s="411"/>
      <c r="E99" s="1207"/>
      <c r="F99" s="1212"/>
      <c r="G99" s="412" t="str">
        <f>CONST_tCO2eq &amp; "/" &amp; CONST_t</f>
        <v>tCO2e/t</v>
      </c>
      <c r="H99" s="1218"/>
      <c r="I99" s="412" t="str">
        <f>CONST_tCO2eq &amp; "/" &amp; CONST_t</f>
        <v>tCO2e/t</v>
      </c>
      <c r="J99" s="412" t="str">
        <f>IF(J96="","",J96)&amp;"/" &amp; CONST_tCO2eq</f>
        <v>/tCO2e</v>
      </c>
      <c r="K99" s="412" t="str">
        <f>J99</f>
        <v>/tCO2e</v>
      </c>
      <c r="L99" s="1214"/>
      <c r="M99" s="1215"/>
      <c r="N99" s="1217"/>
      <c r="S99" s="112"/>
      <c r="T99" s="126" t="s">
        <v>1343</v>
      </c>
      <c r="U99" s="126" t="s">
        <v>1344</v>
      </c>
      <c r="V99" s="371" t="s">
        <v>1345</v>
      </c>
      <c r="W99" s="371" t="s">
        <v>1346</v>
      </c>
    </row>
    <row r="100" spans="4:23" ht="12.75" customHeight="1" x14ac:dyDescent="0.2">
      <c r="D100" s="413" t="str">
        <f>INDEX(CNTR_ListProdProcID,ROWS(D$100:D100))</f>
        <v>P1</v>
      </c>
      <c r="E100" s="414" t="str">
        <f>IF(INDEX(CNTR_List_ExistProdProcNames,ROWS(D$100:D100))=CONST_NA,"",INDEX(CNTR_List_ExistProdProcNames,ROWS(D$100:D100)))</f>
        <v/>
      </c>
      <c r="F100" s="545" t="str">
        <f t="shared" ref="F100:F109" si="0">IF(E100="","",INDEX(CNTR_List_ExistProdProc,MATCH(E100,CNTR_List_ExistProdProcNames,0)))</f>
        <v/>
      </c>
      <c r="G100" s="248" t="str">
        <f>IF($E100="","",SUM(InputOutput!AJ71,InputOutput!AL71))</f>
        <v/>
      </c>
      <c r="H100" s="533"/>
      <c r="I100" s="248" t="str">
        <f>IF(G100="","",G100*H100)</f>
        <v/>
      </c>
      <c r="J100" s="516"/>
      <c r="K100" s="517"/>
      <c r="L100" s="518" t="str">
        <f>IF($F100="","",IFERROR(V100,0))</f>
        <v/>
      </c>
      <c r="M100" s="519" t="str">
        <f>IF($F100="","",IFERROR(W100,0))</f>
        <v/>
      </c>
      <c r="N100" s="520" t="str">
        <f>IF($F100="","",L100-M100)</f>
        <v/>
      </c>
      <c r="S100" s="112"/>
      <c r="T100" s="537">
        <f>SUM($I100)*SUM(J100)</f>
        <v>0</v>
      </c>
      <c r="U100" s="537">
        <f>SUM($I100)*SUM(K100)</f>
        <v>0</v>
      </c>
      <c r="V100" s="537">
        <f t="array" ref="V100:V109">MMULT(CNTR_Matrix_Inv,T100:T129)</f>
        <v>0</v>
      </c>
      <c r="W100" s="537">
        <f t="array" ref="W100:W109">MMULT(CNTR_Matrix_Inv,U100:U129)</f>
        <v>0</v>
      </c>
    </row>
    <row r="101" spans="4:23" ht="12.75" customHeight="1" x14ac:dyDescent="0.2">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x14ac:dyDescent="0.2">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x14ac:dyDescent="0.2">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x14ac:dyDescent="0.2">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x14ac:dyDescent="0.2">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x14ac:dyDescent="0.2">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x14ac:dyDescent="0.2">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x14ac:dyDescent="0.2">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x14ac:dyDescent="0.25">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x14ac:dyDescent="0.2">
      <c r="D110" s="413" t="str">
        <f>INDEX(CNTR_ListPurchPrecID,ROWS(D$110:D110))</f>
        <v>PP1</v>
      </c>
      <c r="E110" s="419" t="str">
        <f>IF(INDEX(CNTR_List_ExistPurchPrecNames,ROWS(D$110:D110))=CONST_NA,"",INDEX(CNTR_List_ExistPurchPrecNames,ROWS(D$110:D110)))</f>
        <v/>
      </c>
      <c r="F110" s="545" t="str">
        <f t="shared" ref="F110:F129" si="7">IF(E110="","",INDEX(CNTR_List_ExistPurchPrec,MATCH(D110,CNTR_ListPurchPrecID,0)))</f>
        <v/>
      </c>
      <c r="G110" s="248" t="str">
        <f>IF($E110="","",SUM(InputOutput!AJ81,InputOutput!AL81))</f>
        <v/>
      </c>
      <c r="H110" s="533"/>
      <c r="I110" s="248" t="str">
        <f t="shared" si="6"/>
        <v/>
      </c>
      <c r="J110" s="516"/>
      <c r="K110" s="516"/>
      <c r="L110" s="410"/>
      <c r="M110" s="410"/>
      <c r="N110" s="420"/>
      <c r="R110" s="538"/>
      <c r="S110" s="112"/>
      <c r="T110" s="537">
        <f t="shared" si="4"/>
        <v>0</v>
      </c>
      <c r="U110" s="537">
        <f t="shared" si="5"/>
        <v>0</v>
      </c>
      <c r="V110" s="538"/>
      <c r="W110" s="538"/>
    </row>
    <row r="111" spans="4:23" ht="12.75" customHeight="1" x14ac:dyDescent="0.2">
      <c r="D111" s="415" t="str">
        <f>INDEX(CNTR_ListPurchPrecID,ROWS(D$110:D111))</f>
        <v>PP2</v>
      </c>
      <c r="E111" s="421" t="str">
        <f>IF(INDEX(CNTR_List_ExistPurchPrecNames,ROWS(D$110:D111))=CONST_NA,"",INDEX(CNTR_List_ExistPurchPrecNames,ROWS(D$110:D111)))</f>
        <v/>
      </c>
      <c r="F111" s="546" t="str">
        <f t="shared" si="7"/>
        <v/>
      </c>
      <c r="G111" s="249" t="str">
        <f>IF($E111="","",SUM(InputOutput!AJ82,InputOutput!AL82))</f>
        <v/>
      </c>
      <c r="H111" s="534"/>
      <c r="I111" s="249" t="str">
        <f t="shared" si="6"/>
        <v/>
      </c>
      <c r="J111" s="521"/>
      <c r="K111" s="521"/>
      <c r="L111" s="410"/>
      <c r="M111" s="420"/>
      <c r="N111" s="420"/>
      <c r="S111" s="112"/>
      <c r="T111" s="537">
        <f t="shared" si="4"/>
        <v>0</v>
      </c>
      <c r="U111" s="537">
        <f t="shared" si="5"/>
        <v>0</v>
      </c>
      <c r="V111" s="538"/>
      <c r="W111" s="538"/>
    </row>
    <row r="112" spans="4:23" ht="12.75" customHeight="1" x14ac:dyDescent="0.2">
      <c r="D112" s="415" t="str">
        <f>INDEX(CNTR_ListPurchPrecID,ROWS(D$110:D112))</f>
        <v>PP3</v>
      </c>
      <c r="E112" s="421" t="str">
        <f>IF(INDEX(CNTR_List_ExistPurchPrecNames,ROWS(D$110:D112))=CONST_NA,"",INDEX(CNTR_List_ExistPurchPrecNames,ROWS(D$110:D112)))</f>
        <v/>
      </c>
      <c r="F112" s="546" t="str">
        <f t="shared" si="7"/>
        <v/>
      </c>
      <c r="G112" s="249" t="str">
        <f>IF($E112="","",SUM(InputOutput!AJ83,InputOutput!AL83))</f>
        <v/>
      </c>
      <c r="H112" s="534"/>
      <c r="I112" s="249" t="str">
        <f t="shared" si="6"/>
        <v/>
      </c>
      <c r="J112" s="521"/>
      <c r="K112" s="521"/>
      <c r="L112" s="410"/>
      <c r="M112" s="420"/>
      <c r="N112" s="420"/>
      <c r="S112" s="112"/>
      <c r="T112" s="537">
        <f t="shared" si="4"/>
        <v>0</v>
      </c>
      <c r="U112" s="537">
        <f t="shared" si="5"/>
        <v>0</v>
      </c>
      <c r="V112" s="538"/>
      <c r="W112" s="538"/>
    </row>
    <row r="113" spans="4:23" ht="12.75" customHeight="1" x14ac:dyDescent="0.2">
      <c r="D113" s="415" t="str">
        <f>INDEX(CNTR_ListPurchPrecID,ROWS(D$110:D113))</f>
        <v>PP4</v>
      </c>
      <c r="E113" s="421" t="str">
        <f>IF(INDEX(CNTR_List_ExistPurchPrecNames,ROWS(D$110:D113))=CONST_NA,"",INDEX(CNTR_List_ExistPurchPrecNames,ROWS(D$110:D113)))</f>
        <v/>
      </c>
      <c r="F113" s="546" t="str">
        <f t="shared" si="7"/>
        <v/>
      </c>
      <c r="G113" s="249" t="str">
        <f>IF($E113="","",SUM(InputOutput!AJ84,InputOutput!AL84))</f>
        <v/>
      </c>
      <c r="H113" s="534"/>
      <c r="I113" s="249" t="str">
        <f t="shared" si="6"/>
        <v/>
      </c>
      <c r="J113" s="521"/>
      <c r="K113" s="521"/>
      <c r="L113" s="410"/>
      <c r="M113" s="420"/>
      <c r="N113" s="420"/>
      <c r="S113" s="112"/>
      <c r="T113" s="537">
        <f t="shared" si="4"/>
        <v>0</v>
      </c>
      <c r="U113" s="537">
        <f t="shared" si="5"/>
        <v>0</v>
      </c>
      <c r="V113" s="538"/>
      <c r="W113" s="538"/>
    </row>
    <row r="114" spans="4:23" ht="12.75" customHeight="1" x14ac:dyDescent="0.2">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x14ac:dyDescent="0.2">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x14ac:dyDescent="0.2">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x14ac:dyDescent="0.2">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x14ac:dyDescent="0.2">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x14ac:dyDescent="0.2">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x14ac:dyDescent="0.2">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x14ac:dyDescent="0.2">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x14ac:dyDescent="0.2">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x14ac:dyDescent="0.2">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x14ac:dyDescent="0.2">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x14ac:dyDescent="0.2">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x14ac:dyDescent="0.2">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x14ac:dyDescent="0.2">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x14ac:dyDescent="0.2">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x14ac:dyDescent="0.2">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x14ac:dyDescent="0.25"/>
    <row r="131" spans="1:21" s="89" customFormat="1" ht="12.75" hidden="1" customHeight="1" x14ac:dyDescent="0.25">
      <c r="A131" s="89" t="s">
        <v>0</v>
      </c>
      <c r="P131" s="90" t="s">
        <v>7</v>
      </c>
    </row>
    <row r="132" spans="1:21" s="89" customFormat="1" ht="12.75" hidden="1" customHeight="1" x14ac:dyDescent="0.25">
      <c r="A132" s="89" t="s">
        <v>0</v>
      </c>
      <c r="P132" s="90"/>
    </row>
    <row r="133" spans="1:21" s="89" customFormat="1" ht="12.75" hidden="1" customHeight="1" x14ac:dyDescent="0.25">
      <c r="A133" s="89" t="s">
        <v>0</v>
      </c>
      <c r="P133" s="90"/>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phoneticPr fontId="68" type="noConversion"/>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49" priority="35" stopIfTrue="1">
      <formula>$Y21</formula>
    </cfRule>
  </conditionalFormatting>
  <conditionalFormatting sqref="J41">
    <cfRule type="expression" dxfId="48" priority="143" stopIfTrue="1">
      <formula>AB$81</formula>
    </cfRule>
  </conditionalFormatting>
  <conditionalFormatting sqref="J61 J64 J72">
    <cfRule type="expression" dxfId="47" priority="2" stopIfTrue="1">
      <formula>$Y61</formula>
    </cfRule>
  </conditionalFormatting>
  <conditionalFormatting sqref="J61">
    <cfRule type="expression" dxfId="46" priority="1" stopIfTrue="1">
      <formula>AB$81</formula>
    </cfRule>
  </conditionalFormatting>
  <conditionalFormatting sqref="J64 J21 J26">
    <cfRule type="expression" dxfId="45" priority="28" stopIfTrue="1">
      <formula>AB$81</formula>
    </cfRule>
  </conditionalFormatting>
  <conditionalFormatting sqref="J72">
    <cfRule type="expression" dxfId="44" priority="3" stopIfTrue="1">
      <formula>AB$81</formula>
    </cfRule>
  </conditionalFormatting>
  <conditionalFormatting sqref="K26 K41">
    <cfRule type="expression" dxfId="43" priority="184" stopIfTrue="1">
      <formula>#REF!</formula>
    </cfRule>
  </conditionalFormatting>
  <conditionalFormatting sqref="K41">
    <cfRule type="expression" dxfId="42" priority="186" stopIfTrue="1">
      <formula>AB$81</formula>
    </cfRule>
  </conditionalFormatting>
  <conditionalFormatting sqref="K64 K72">
    <cfRule type="expression" dxfId="41" priority="7" stopIfTrue="1">
      <formula>#REF!</formula>
    </cfRule>
  </conditionalFormatting>
  <conditionalFormatting sqref="K72">
    <cfRule type="expression" dxfId="40" priority="8" stopIfTrue="1">
      <formula>AB$81</formula>
    </cfRule>
  </conditionalFormatting>
  <conditionalFormatting sqref="L21">
    <cfRule type="expression" dxfId="39" priority="165" stopIfTrue="1">
      <formula>#REF!</formula>
    </cfRule>
    <cfRule type="expression" dxfId="38" priority="187" stopIfTrue="1">
      <formula>AB$81</formula>
    </cfRule>
  </conditionalFormatting>
  <conditionalFormatting sqref="L26">
    <cfRule type="expression" dxfId="37" priority="144" stopIfTrue="1">
      <formula>AND(NOT(MSconst_RequireAllYears),NOT(INDEX(CNTR_BaselineHighlight,H$246-2004)))</formula>
    </cfRule>
  </conditionalFormatting>
  <conditionalFormatting sqref="L61">
    <cfRule type="expression" dxfId="36" priority="5" stopIfTrue="1">
      <formula>#REF!</formula>
    </cfRule>
    <cfRule type="expression" dxfId="35" priority="9" stopIfTrue="1">
      <formula>AB$81</formula>
    </cfRule>
  </conditionalFormatting>
  <conditionalFormatting sqref="L64">
    <cfRule type="expression" dxfId="34"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33" priority="166" stopIfTrue="1">
      <formula>#REF!</formula>
    </cfRule>
  </conditionalFormatting>
  <conditionalFormatting sqref="M61">
    <cfRule type="expression" dxfId="32"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E6" sqref="E6"/>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Translations!$B$354</f>
        <v>Further Guidance</v>
      </c>
      <c r="C2" s="1074"/>
      <c r="D2" s="1075"/>
      <c r="E2" s="1082" t="str">
        <f>Translations!$B$11</f>
        <v>Navigation Area:</v>
      </c>
      <c r="F2" s="1083"/>
      <c r="G2" s="1084" t="str">
        <f ca="1">HYPERLINK("#"&amp;ADDRESS(2,3,,,a_Contents!$U$2),a_Contents!$B$2)</f>
        <v>Table of contents</v>
      </c>
      <c r="H2" s="1085"/>
      <c r="I2" s="1084"/>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ADDRESS(ROW($B$2),COLUMN(B2)) &amp; ":" &amp; ADDRESS(MATCH("PRINT",$P:$P,0),COLUMN(O4))</f>
        <v>$B$2:$O$162</v>
      </c>
      <c r="T2" s="89" t="s">
        <v>2</v>
      </c>
      <c r="U2" s="102" t="str">
        <f ca="1">IF(ISERROR(CELL("filename",V2)),"MSParameters",MID(CELL("filename",V2),FIND("]",CELL("filename",V2))+1,1024))</f>
        <v>G_FurtherGuidance</v>
      </c>
    </row>
    <row r="3" spans="1:24" ht="14.1" customHeight="1" x14ac:dyDescent="0.25">
      <c r="B3" s="1076"/>
      <c r="C3" s="1077"/>
      <c r="D3" s="1078"/>
      <c r="E3" s="1068"/>
      <c r="F3" s="1068"/>
      <c r="G3" s="1068" t="str">
        <f>IFERROR(HYPERLINK("#"&amp;ADDRESS(ROW($A$1)+MATCH(R3,$A:$A,0)-1,3),INDEX($R:$R,MATCH(R3,$A:$A,0))),"")</f>
        <v>General guidance</v>
      </c>
      <c r="H3" s="1068"/>
      <c r="I3" s="1068" t="str">
        <f>IFERROR(HYPERLINK("#"&amp;ADDRESS(ROW($A$1)+MATCH(T3,$A:$A,0)-1,3),INDEX($R:$R,MATCH(T3,$A:$A,0))),"")</f>
        <v>Source streams and emission sources</v>
      </c>
      <c r="J3" s="1068"/>
      <c r="K3" s="1068" t="str">
        <f>IFERROR(HYPERLINK("#"&amp;ADDRESS(ROW($A$1)+MATCH(V3,$A:$A,0)-1,3),INDEX($R:$R,MATCH(V3,$A:$A,0))),"")</f>
        <v>Attribution of emissions to production processes</v>
      </c>
      <c r="L3" s="1068"/>
      <c r="M3" s="1068" t="str">
        <f>IFERROR(HYPERLINK("#"&amp;ADDRESS(ROW($A$1)+MATCH(X3,$A:$A,0)-1,3),INDEX($R:$R,MATCH(X3,$A:$A,0))),"")</f>
        <v>Summary of products</v>
      </c>
      <c r="N3" s="1068"/>
      <c r="R3" s="306">
        <v>1</v>
      </c>
      <c r="S3" s="307"/>
      <c r="T3" s="307">
        <v>2</v>
      </c>
      <c r="U3" s="307"/>
      <c r="V3" s="307">
        <v>3</v>
      </c>
      <c r="W3" s="307"/>
      <c r="X3" s="308">
        <v>4</v>
      </c>
    </row>
    <row r="4" spans="1:24" ht="14.1" customHeight="1" thickBot="1" x14ac:dyDescent="0.3">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x14ac:dyDescent="0.25">
      <c r="W5" s="104"/>
    </row>
    <row r="6" spans="1:24" ht="25.5" customHeight="1" x14ac:dyDescent="0.25">
      <c r="C6" s="316" t="s">
        <v>18</v>
      </c>
      <c r="E6" s="106" t="str">
        <f>Translations!$B$355</f>
        <v>Sheet "G_FurtherGuidance" - Further guidance on specific sections in this template</v>
      </c>
      <c r="R6" s="105" t="s">
        <v>19</v>
      </c>
      <c r="S6" s="105" t="s">
        <v>20</v>
      </c>
      <c r="T6" s="126"/>
      <c r="U6" s="126"/>
      <c r="V6" s="105" t="str">
        <f>Translations!$B$66</f>
        <v>Errors</v>
      </c>
      <c r="W6" s="104"/>
      <c r="X6" s="105" t="s">
        <v>21</v>
      </c>
    </row>
    <row r="7" spans="1:24" ht="5.0999999999999996" customHeight="1" x14ac:dyDescent="0.25">
      <c r="W7" s="104"/>
    </row>
    <row r="8" spans="1:24" ht="18" customHeight="1" x14ac:dyDescent="0.25">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x14ac:dyDescent="0.25">
      <c r="D9" s="9"/>
      <c r="E9" s="9"/>
      <c r="F9" s="9"/>
      <c r="G9" s="9"/>
      <c r="H9" s="9"/>
      <c r="I9" s="9"/>
      <c r="J9" s="9"/>
      <c r="K9" s="9"/>
      <c r="L9" s="9"/>
      <c r="M9" s="9"/>
      <c r="N9" s="9"/>
    </row>
    <row r="10" spans="1:24" ht="5.0999999999999996" customHeight="1" x14ac:dyDescent="0.2">
      <c r="C10" s="24"/>
      <c r="D10" s="368"/>
      <c r="E10" s="1219"/>
      <c r="F10" s="1220"/>
      <c r="G10" s="1220"/>
      <c r="H10" s="1220"/>
      <c r="I10" s="1220"/>
      <c r="J10" s="1220"/>
      <c r="K10" s="1220"/>
      <c r="L10" s="1220"/>
      <c r="M10" s="1220"/>
      <c r="N10" s="1220"/>
    </row>
    <row r="11" spans="1:24" ht="38.25" customHeight="1" x14ac:dyDescent="0.2">
      <c r="C11" s="24"/>
      <c r="D11" s="368"/>
      <c r="E11" s="110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08"/>
      <c r="G11" s="1108"/>
      <c r="H11" s="1108"/>
      <c r="I11" s="1108"/>
      <c r="J11" s="1108"/>
      <c r="K11" s="1108"/>
      <c r="L11" s="1108"/>
      <c r="M11" s="1108"/>
      <c r="N11" s="1108"/>
    </row>
    <row r="12" spans="1:24" ht="25.5" customHeight="1" x14ac:dyDescent="0.2">
      <c r="C12" s="24"/>
      <c r="D12" s="369"/>
      <c r="E12" s="110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08"/>
      <c r="G12" s="1108"/>
      <c r="H12" s="1108"/>
      <c r="I12" s="1108"/>
      <c r="J12" s="1108"/>
      <c r="K12" s="1108"/>
      <c r="L12" s="1108"/>
      <c r="M12" s="1108"/>
      <c r="N12" s="1108"/>
    </row>
    <row r="13" spans="1:24" ht="12.75" customHeight="1" x14ac:dyDescent="0.2">
      <c r="C13" s="24"/>
      <c r="D13" s="369"/>
      <c r="E13" s="1219" t="str">
        <f>Translations!$B$359</f>
        <v>You can also find further guidance, including examples, in the guidance document published on the European Commission's website, which can be found here:</v>
      </c>
      <c r="F13" s="1220"/>
      <c r="G13" s="1220"/>
      <c r="H13" s="1220"/>
      <c r="I13" s="1220"/>
      <c r="J13" s="1220"/>
      <c r="K13" s="1220"/>
      <c r="L13" s="1220"/>
      <c r="M13" s="1220"/>
      <c r="N13" s="1220"/>
    </row>
    <row r="14" spans="1:24" ht="12.75" customHeight="1" x14ac:dyDescent="0.2">
      <c r="C14" s="24"/>
      <c r="D14" s="369"/>
      <c r="E14" s="1229" t="s">
        <v>1347</v>
      </c>
      <c r="F14" s="1230"/>
      <c r="G14" s="1230"/>
      <c r="H14" s="1230"/>
      <c r="I14" s="1230"/>
      <c r="J14" s="1230"/>
      <c r="K14" s="1230"/>
      <c r="L14" s="1230"/>
      <c r="M14" s="1230"/>
      <c r="N14" s="1230"/>
    </row>
    <row r="15" spans="1:24" ht="5.0999999999999996" customHeight="1" x14ac:dyDescent="0.2">
      <c r="C15" s="24"/>
      <c r="D15" s="369"/>
      <c r="E15" s="1219"/>
      <c r="F15" s="1220"/>
      <c r="G15" s="1220"/>
      <c r="H15" s="1220"/>
      <c r="I15" s="1220"/>
      <c r="J15" s="1220"/>
      <c r="K15" s="1220"/>
      <c r="L15" s="1220"/>
      <c r="M15" s="1220"/>
      <c r="N15" s="1220"/>
    </row>
    <row r="16" spans="1:24" ht="12.75" customHeight="1" x14ac:dyDescent="0.25">
      <c r="W16" s="104"/>
    </row>
    <row r="17" spans="1:23" ht="18" customHeight="1" x14ac:dyDescent="0.25">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x14ac:dyDescent="0.25">
      <c r="D18" s="9"/>
      <c r="E18" s="9"/>
      <c r="F18" s="9"/>
      <c r="G18" s="9"/>
      <c r="H18" s="9"/>
      <c r="I18" s="9"/>
      <c r="J18" s="9"/>
      <c r="K18" s="9"/>
      <c r="L18" s="9"/>
      <c r="M18" s="9"/>
      <c r="N18" s="9"/>
    </row>
    <row r="19" spans="1:23" ht="5.0999999999999996" customHeight="1" x14ac:dyDescent="0.2">
      <c r="C19" s="24"/>
      <c r="D19" s="368"/>
      <c r="E19" s="1219"/>
      <c r="F19" s="1220"/>
      <c r="G19" s="1220"/>
      <c r="H19" s="1220"/>
      <c r="I19" s="1220"/>
      <c r="J19" s="1220"/>
      <c r="K19" s="1220"/>
      <c r="L19" s="1220"/>
      <c r="M19" s="1220"/>
      <c r="N19" s="1220"/>
    </row>
    <row r="20" spans="1:23" ht="12.75" customHeight="1" x14ac:dyDescent="0.2">
      <c r="C20" s="24"/>
      <c r="D20" s="368"/>
      <c r="E20" s="1219" t="str">
        <f>Translations!$B$360</f>
        <v>In sheet "B_EmInst" the energy content and the greenhouse gas (GHG) emissions are calculated for each source stream and emission source.</v>
      </c>
      <c r="F20" s="1220"/>
      <c r="G20" s="1220"/>
      <c r="H20" s="1220"/>
      <c r="I20" s="1220"/>
      <c r="J20" s="1220"/>
      <c r="K20" s="1220"/>
      <c r="L20" s="1220"/>
      <c r="M20" s="1220"/>
      <c r="N20" s="1220"/>
    </row>
    <row r="21" spans="1:23" ht="12.75" customHeight="1" x14ac:dyDescent="0.2">
      <c r="C21" s="24"/>
      <c r="D21" s="369"/>
      <c r="E21" s="1219" t="str">
        <f>Translations!$B$361</f>
        <v>At the top of each block in that sheet you can find examples on how to complete data inputs in order to calculate the corresponding emissions for each source stream and emission source.</v>
      </c>
      <c r="F21" s="1220"/>
      <c r="G21" s="1220"/>
      <c r="H21" s="1220"/>
      <c r="I21" s="1220"/>
      <c r="J21" s="1220"/>
      <c r="K21" s="1220"/>
      <c r="L21" s="1220"/>
      <c r="M21" s="1220"/>
      <c r="N21" s="1220"/>
    </row>
    <row r="22" spans="1:23" ht="12.75" customHeight="1" x14ac:dyDescent="0.2">
      <c r="C22" s="24"/>
      <c r="D22" s="369"/>
      <c r="E22" s="1219" t="str">
        <f>Translations!$B$362</f>
        <v>Guidance on each parameter below aims to help you with filling all input fields in sheet "B_EmInst".</v>
      </c>
      <c r="F22" s="1220"/>
      <c r="G22" s="1220"/>
      <c r="H22" s="1220"/>
      <c r="I22" s="1220"/>
      <c r="J22" s="1220"/>
      <c r="K22" s="1220"/>
      <c r="L22" s="1220"/>
      <c r="M22" s="1220"/>
      <c r="N22" s="1220"/>
    </row>
    <row r="23" spans="1:23" ht="5.0999999999999996" customHeight="1" x14ac:dyDescent="0.2">
      <c r="C23" s="24"/>
      <c r="D23" s="369"/>
      <c r="E23" s="1219"/>
      <c r="F23" s="1220"/>
      <c r="G23" s="1220"/>
      <c r="H23" s="1220"/>
      <c r="I23" s="1220"/>
      <c r="J23" s="1220"/>
      <c r="K23" s="1220"/>
      <c r="L23" s="1220"/>
      <c r="M23" s="1220"/>
      <c r="N23" s="1220"/>
    </row>
    <row r="24" spans="1:23" ht="5.0999999999999996" customHeight="1" x14ac:dyDescent="0.2">
      <c r="D24" s="103"/>
      <c r="E24" s="113"/>
      <c r="F24" s="113"/>
      <c r="G24" s="113"/>
      <c r="H24" s="113"/>
      <c r="I24" s="113"/>
      <c r="J24" s="113"/>
      <c r="K24" s="113"/>
      <c r="L24" s="113"/>
      <c r="M24" s="113"/>
      <c r="S24" s="112"/>
    </row>
    <row r="25" spans="1:23" ht="12.75" customHeight="1" x14ac:dyDescent="0.2">
      <c r="D25" s="103"/>
      <c r="E25" s="1226" t="str">
        <f ca="1">HYPERLINK("#"&amp;S25,CONST_LinkFromGuidance)</f>
        <v>Please click on this link if you want to go back to the relevant section for data entry.</v>
      </c>
      <c r="F25" s="1226"/>
      <c r="G25" s="1226"/>
      <c r="H25" s="1226"/>
      <c r="I25" s="1226"/>
      <c r="J25" s="1226"/>
      <c r="K25" s="1226"/>
      <c r="L25" s="1226"/>
      <c r="M25" s="1226"/>
      <c r="N25" s="1226"/>
      <c r="R25" s="89" t="s">
        <v>1348</v>
      </c>
      <c r="S25" s="116" t="str">
        <f ca="1">ADDRESS(17,4,,,B_EmInst!$BD$2)</f>
        <v>B_EmInst!$D$17</v>
      </c>
    </row>
    <row r="26" spans="1:23" ht="5.0999999999999996" customHeight="1" x14ac:dyDescent="0.25">
      <c r="W26" s="104"/>
    </row>
    <row r="27" spans="1:23" ht="25.5" customHeight="1" x14ac:dyDescent="0.2">
      <c r="D27" s="103"/>
      <c r="E27" s="1228" t="str">
        <f>Translations!$B$363</f>
        <v>Source streams (excluding PFC emissions)</v>
      </c>
      <c r="F27" s="1228"/>
      <c r="G27" s="1228"/>
      <c r="H27" s="1228"/>
      <c r="I27" s="1228"/>
      <c r="J27" s="1228"/>
      <c r="K27" s="1228"/>
      <c r="L27" s="1228"/>
      <c r="M27" s="1228"/>
      <c r="N27" s="1228"/>
      <c r="S27" s="112"/>
    </row>
    <row r="28" spans="1:23" ht="25.5" customHeight="1" x14ac:dyDescent="0.2">
      <c r="D28" s="103"/>
      <c r="E28" s="425" t="str">
        <f>Translations!$B$132</f>
        <v>Method</v>
      </c>
      <c r="F28" s="426"/>
      <c r="G28" s="1186" t="str">
        <f>Translations!$B$364</f>
        <v>Please select from the drop-down list the monitoring method applied for the relevant source stream: "combustion", "process emissions" or "mass balance".</v>
      </c>
      <c r="H28" s="1186"/>
      <c r="I28" s="1186"/>
      <c r="J28" s="1186"/>
      <c r="K28" s="1186"/>
      <c r="L28" s="1186"/>
      <c r="M28" s="1186"/>
      <c r="N28" s="1186"/>
      <c r="S28" s="112"/>
    </row>
    <row r="29" spans="1:23" ht="12.75" customHeight="1" x14ac:dyDescent="0.2">
      <c r="D29" s="103"/>
      <c r="E29" s="246" t="str">
        <f>Translations!$B$133</f>
        <v>Source stream name</v>
      </c>
      <c r="F29" s="424"/>
      <c r="G29" s="1186" t="str">
        <f>Translations!$B$365</f>
        <v>Please enter here the name of the source stream, e.g. coal, natural gas, clinker raw meal, limestone, iron ore, steel, scrap iron, scrap aluminium.</v>
      </c>
      <c r="H29" s="1186"/>
      <c r="I29" s="1186"/>
      <c r="J29" s="1186"/>
      <c r="K29" s="1186"/>
      <c r="L29" s="1186"/>
      <c r="M29" s="1186"/>
      <c r="N29" s="1186"/>
      <c r="S29" s="112"/>
    </row>
    <row r="30" spans="1:23" ht="38.25" customHeight="1" x14ac:dyDescent="0.2">
      <c r="D30" s="103"/>
      <c r="E30" s="246" t="str">
        <f>Translations!$B$366</f>
        <v>Activity data (AD)</v>
      </c>
      <c r="F30" s="424"/>
      <c r="G30" s="1186"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6"/>
      <c r="I30" s="1186"/>
      <c r="J30" s="1186"/>
      <c r="K30" s="1186"/>
      <c r="L30" s="1186"/>
      <c r="M30" s="1186"/>
      <c r="N30" s="1186"/>
      <c r="S30" s="112"/>
    </row>
    <row r="31" spans="1:23" ht="25.5" customHeight="1" x14ac:dyDescent="0.2">
      <c r="D31" s="103"/>
      <c r="E31" s="246" t="str">
        <f>Translations!$B$368</f>
        <v>AD unit</v>
      </c>
      <c r="F31" s="424"/>
      <c r="G31" s="1186" t="str">
        <f>Translations!$B$369</f>
        <v>The corresponding units in which the amounts above are provided. For example tonnes (t) for mass or normal cubic metres (Nm³) for gases.</v>
      </c>
      <c r="H31" s="1186"/>
      <c r="I31" s="1186"/>
      <c r="J31" s="1186"/>
      <c r="K31" s="1186"/>
      <c r="L31" s="1186"/>
      <c r="M31" s="1186"/>
      <c r="N31" s="1186"/>
      <c r="S31" s="112"/>
    </row>
    <row r="32" spans="1:23" ht="38.25" customHeight="1" x14ac:dyDescent="0.2">
      <c r="D32" s="103"/>
      <c r="E32" s="246" t="str">
        <f>Translations!$B$370</f>
        <v>(prelim) EF</v>
      </c>
      <c r="F32" s="424"/>
      <c r="G32" s="1186"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6"/>
      <c r="I32" s="1186"/>
      <c r="J32" s="1186"/>
      <c r="K32" s="1186"/>
      <c r="L32" s="1186"/>
      <c r="M32" s="1186"/>
      <c r="N32" s="1186"/>
      <c r="S32" s="112"/>
    </row>
    <row r="33" spans="4:19" ht="25.5" customHeight="1" x14ac:dyDescent="0.2">
      <c r="D33" s="103"/>
      <c r="E33" s="246" t="str">
        <f>Translations!$B$136</f>
        <v>Net calorific value (NCV)</v>
      </c>
      <c r="F33" s="424"/>
      <c r="G33" s="1186" t="str">
        <f>Translations!$B$372</f>
        <v>The net calorific value is the specific amount of energy released as heat when a fuel or material undergoes complete combustion with oxygen under standard conditions less the heat of vaporisation of any water formed</v>
      </c>
      <c r="H33" s="1186"/>
      <c r="I33" s="1186"/>
      <c r="J33" s="1186"/>
      <c r="K33" s="1186"/>
      <c r="L33" s="1186"/>
      <c r="M33" s="1186"/>
      <c r="N33" s="1186"/>
      <c r="S33" s="112"/>
    </row>
    <row r="34" spans="4:19" ht="25.5" customHeight="1" x14ac:dyDescent="0.2">
      <c r="D34" s="103"/>
      <c r="E34" s="246" t="str">
        <f>Translations!$B$196</f>
        <v>OxF</v>
      </c>
      <c r="F34" s="424"/>
      <c r="G34" s="1186"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6"/>
      <c r="I34" s="1186"/>
      <c r="J34" s="1186"/>
      <c r="K34" s="1186"/>
      <c r="L34" s="1186"/>
      <c r="M34" s="1186"/>
      <c r="N34" s="1186"/>
      <c r="S34" s="112"/>
    </row>
    <row r="35" spans="4:19" ht="25.5" customHeight="1" x14ac:dyDescent="0.2">
      <c r="D35" s="103"/>
      <c r="E35" s="246" t="str">
        <f>Translations!$B$197</f>
        <v>ConvF</v>
      </c>
      <c r="F35" s="424"/>
      <c r="G35" s="1186"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6"/>
      <c r="I35" s="1186"/>
      <c r="J35" s="1186"/>
      <c r="K35" s="1186"/>
      <c r="L35" s="1186"/>
      <c r="M35" s="1186"/>
      <c r="N35" s="1186"/>
      <c r="S35" s="112"/>
    </row>
    <row r="36" spans="4:19" ht="12.75" customHeight="1" x14ac:dyDescent="0.2">
      <c r="D36" s="103"/>
      <c r="E36" s="246" t="str">
        <f>Translations!$B$375</f>
        <v>CarbC</v>
      </c>
      <c r="F36" s="424"/>
      <c r="G36" s="1186" t="str">
        <f>Translations!$B$376</f>
        <v>The carbon content of the fuel or material.</v>
      </c>
      <c r="H36" s="1186"/>
      <c r="I36" s="1186"/>
      <c r="J36" s="1186"/>
      <c r="K36" s="1186"/>
      <c r="L36" s="1186"/>
      <c r="M36" s="1186"/>
      <c r="N36" s="1186"/>
      <c r="S36" s="112"/>
    </row>
    <row r="37" spans="4:19" ht="25.5" customHeight="1" x14ac:dyDescent="0.2">
      <c r="D37" s="103"/>
      <c r="E37" s="246" t="str">
        <f>Translations!$B$377</f>
        <v>BioC</v>
      </c>
      <c r="F37" s="424"/>
      <c r="G37" s="1186" t="str">
        <f>Translations!$B$378</f>
        <v>The biomass fraction is the ratio of carbon stemming from biomass to the total carbon content of a fuel or material, expressed as percentage.</v>
      </c>
      <c r="H37" s="1186"/>
      <c r="I37" s="1186"/>
      <c r="J37" s="1186"/>
      <c r="K37" s="1186"/>
      <c r="L37" s="1186"/>
      <c r="M37" s="1186"/>
      <c r="N37" s="1186"/>
      <c r="S37" s="112"/>
    </row>
    <row r="38" spans="4:19" ht="25.5" customHeight="1" x14ac:dyDescent="0.2">
      <c r="D38" s="103"/>
      <c r="E38" s="246" t="str">
        <f>Translations!$B$379</f>
        <v>Further columns greyed out</v>
      </c>
      <c r="F38" s="424"/>
      <c r="G38" s="1186" t="str">
        <f>Translations!$B$380</f>
        <v>Further columns are relevant for PFC emissions or emission sources (measurement-based approaches), but not for source streams. For source streams they are therefore greyed out.</v>
      </c>
      <c r="H38" s="1186"/>
      <c r="I38" s="1186"/>
      <c r="J38" s="1186"/>
      <c r="K38" s="1186"/>
      <c r="L38" s="1186"/>
      <c r="M38" s="1186"/>
      <c r="N38" s="1186"/>
      <c r="S38" s="112"/>
    </row>
    <row r="39" spans="4:19" ht="25.5" customHeight="1" x14ac:dyDescent="0.2">
      <c r="D39" s="103"/>
      <c r="E39" s="246" t="str">
        <f>Translations!$B$381</f>
        <v>Energy and emissions</v>
      </c>
      <c r="F39" s="424"/>
      <c r="G39" s="1186" t="str">
        <f>Translations!$B$382</f>
        <v>On the right side of each block the total energy content and GHG emissions (fossil and biogenic) are calculated automatically for each source stream.</v>
      </c>
      <c r="H39" s="1186"/>
      <c r="I39" s="1186"/>
      <c r="J39" s="1186"/>
      <c r="K39" s="1186"/>
      <c r="L39" s="1186"/>
      <c r="M39" s="1186"/>
      <c r="N39" s="1186"/>
      <c r="S39" s="112"/>
    </row>
    <row r="40" spans="4:19" ht="25.5" customHeight="1" x14ac:dyDescent="0.2">
      <c r="D40" s="103"/>
      <c r="E40" s="1228" t="str">
        <f>Translations!$B$383</f>
        <v>PFC emissions</v>
      </c>
      <c r="F40" s="1228"/>
      <c r="G40" s="1228"/>
      <c r="H40" s="1228"/>
      <c r="I40" s="1228"/>
      <c r="J40" s="1228"/>
      <c r="K40" s="1228"/>
      <c r="L40" s="1228"/>
      <c r="M40" s="1228"/>
      <c r="N40" s="1228"/>
      <c r="S40" s="112"/>
    </row>
    <row r="41" spans="4:19" ht="25.5" customHeight="1" x14ac:dyDescent="0.2">
      <c r="D41" s="103"/>
      <c r="E41" s="425" t="str">
        <f>Translations!$B$132</f>
        <v>Method</v>
      </c>
      <c r="F41" s="424"/>
      <c r="G41" s="1186" t="str">
        <f>Translations!$B$384</f>
        <v>Please select from the drop-down list the monitoring method applied: "slope" (Method A) or "overvoltage" (Method B).</v>
      </c>
      <c r="H41" s="1186"/>
      <c r="I41" s="1186"/>
      <c r="J41" s="1186"/>
      <c r="K41" s="1186"/>
      <c r="L41" s="1186"/>
      <c r="M41" s="1186"/>
      <c r="N41" s="1186"/>
      <c r="S41" s="112"/>
    </row>
    <row r="42" spans="4:19" ht="12.75" customHeight="1" x14ac:dyDescent="0.2">
      <c r="D42" s="103"/>
      <c r="E42" s="246" t="str">
        <f>Translations!$B$199</f>
        <v>Type of anode</v>
      </c>
      <c r="F42" s="424"/>
      <c r="G42" s="1186" t="str">
        <f>Translations!$B$385</f>
        <v>Please provide here the type of anode such as Centre Worked Pre-Bake (CWPB), Vertical Stud Søderberg (VSS), etc.</v>
      </c>
      <c r="H42" s="1186"/>
      <c r="I42" s="1186"/>
      <c r="J42" s="1186"/>
      <c r="K42" s="1186"/>
      <c r="L42" s="1186"/>
      <c r="M42" s="1186"/>
      <c r="N42" s="1186"/>
      <c r="S42" s="112"/>
    </row>
    <row r="43" spans="4:19" ht="12.75" customHeight="1" x14ac:dyDescent="0.2">
      <c r="D43" s="103"/>
      <c r="E43" s="246" t="str">
        <f>B_EmInst!$F$13</f>
        <v>Activity data (AD)</v>
      </c>
      <c r="F43" s="424"/>
      <c r="G43" s="1186" t="str">
        <f>Translations!$B$386</f>
        <v>Activity data = annual production of primary Aluminium</v>
      </c>
      <c r="H43" s="1186"/>
      <c r="I43" s="1186"/>
      <c r="J43" s="1186"/>
      <c r="K43" s="1186"/>
      <c r="L43" s="1186"/>
      <c r="M43" s="1186"/>
      <c r="N43" s="1186"/>
      <c r="S43" s="112"/>
    </row>
    <row r="44" spans="4:19" ht="12.75" customHeight="1" x14ac:dyDescent="0.2">
      <c r="D44" s="103"/>
      <c r="E44" s="246" t="str">
        <f>Translations!$B$161</f>
        <v>A: Frequency</v>
      </c>
      <c r="F44" s="424"/>
      <c r="G44" s="1186" t="str">
        <f>Translations!$B$387</f>
        <v>Method A: The frequency of anode effects (number of anode effects/cell-day)</v>
      </c>
      <c r="H44" s="1186"/>
      <c r="I44" s="1186"/>
      <c r="J44" s="1186"/>
      <c r="K44" s="1186"/>
      <c r="L44" s="1186"/>
      <c r="M44" s="1186"/>
      <c r="N44" s="1186"/>
      <c r="S44" s="112"/>
    </row>
    <row r="45" spans="4:19" ht="12.75" customHeight="1" x14ac:dyDescent="0.2">
      <c r="D45" s="103"/>
      <c r="E45" s="246" t="str">
        <f>Translations!$B$162</f>
        <v>A: Duration</v>
      </c>
      <c r="F45" s="424"/>
      <c r="G45" s="1186" t="str">
        <f>Translations!$B$388</f>
        <v>Method A: The average duration of anode effects (anode effect minutes/occurrence)</v>
      </c>
      <c r="H45" s="1186"/>
      <c r="I45" s="1186"/>
      <c r="J45" s="1186"/>
      <c r="K45" s="1186"/>
      <c r="L45" s="1186"/>
      <c r="M45" s="1186"/>
      <c r="N45" s="1186"/>
      <c r="S45" s="112"/>
    </row>
    <row r="46" spans="4:19" ht="12.75" customHeight="1" x14ac:dyDescent="0.2">
      <c r="D46" s="103"/>
      <c r="E46" s="246" t="str">
        <f>Translations!$B$163</f>
        <v>A: SEF(CF4)</v>
      </c>
      <c r="F46" s="424"/>
      <c r="G46" s="1186" t="str">
        <f>Translations!$B$389</f>
        <v>Method A: The slope emission factor</v>
      </c>
      <c r="H46" s="1186"/>
      <c r="I46" s="1186"/>
      <c r="J46" s="1186"/>
      <c r="K46" s="1186"/>
      <c r="L46" s="1186"/>
      <c r="M46" s="1186"/>
      <c r="N46" s="1186"/>
      <c r="S46" s="112"/>
    </row>
    <row r="47" spans="4:19" ht="12.75" customHeight="1" x14ac:dyDescent="0.2">
      <c r="D47" s="103"/>
      <c r="E47" s="246" t="str">
        <f>Translations!$B$164</f>
        <v>B: AEO</v>
      </c>
      <c r="F47" s="424"/>
      <c r="G47" s="1186" t="str">
        <f>Translations!$B$390</f>
        <v>Method B: The anode effect overvoltage per cell</v>
      </c>
      <c r="H47" s="1186"/>
      <c r="I47" s="1186"/>
      <c r="J47" s="1186"/>
      <c r="K47" s="1186"/>
      <c r="L47" s="1186"/>
      <c r="M47" s="1186"/>
      <c r="N47" s="1186"/>
      <c r="S47" s="112"/>
    </row>
    <row r="48" spans="4:19" ht="12.75" customHeight="1" x14ac:dyDescent="0.2">
      <c r="D48" s="103"/>
      <c r="E48" s="246" t="str">
        <f>Translations!$B$165</f>
        <v>B: CE</v>
      </c>
      <c r="F48" s="424"/>
      <c r="G48" s="1186" t="str">
        <f>Translations!$B$391</f>
        <v>Method B: The average current efficiency</v>
      </c>
      <c r="H48" s="1186"/>
      <c r="I48" s="1186"/>
      <c r="J48" s="1186"/>
      <c r="K48" s="1186"/>
      <c r="L48" s="1186"/>
      <c r="M48" s="1186"/>
      <c r="N48" s="1186"/>
      <c r="S48" s="112"/>
    </row>
    <row r="49" spans="4:19" ht="12.75" customHeight="1" x14ac:dyDescent="0.2">
      <c r="D49" s="103"/>
      <c r="E49" s="246" t="str">
        <f>Translations!$B$166</f>
        <v>B: OVC</v>
      </c>
      <c r="F49" s="424"/>
      <c r="G49" s="1186" t="str">
        <f>Translations!$B$392</f>
        <v>Method B: The overvoltage coefficient (‘emission factor’)</v>
      </c>
      <c r="H49" s="1186"/>
      <c r="I49" s="1186"/>
      <c r="J49" s="1186"/>
      <c r="K49" s="1186"/>
      <c r="L49" s="1186"/>
      <c r="M49" s="1186"/>
      <c r="N49" s="1186"/>
      <c r="S49" s="112"/>
    </row>
    <row r="50" spans="4:19" ht="12.75" customHeight="1" x14ac:dyDescent="0.2">
      <c r="D50" s="103"/>
      <c r="E50" s="246" t="str">
        <f>Translations!$B$167</f>
        <v>F(C2F6)</v>
      </c>
      <c r="F50" s="424"/>
      <c r="G50" s="1186" t="str">
        <f>Translations!$B$393</f>
        <v>The weight fraction of C2F6</v>
      </c>
      <c r="H50" s="1186"/>
      <c r="I50" s="1186"/>
      <c r="J50" s="1186"/>
      <c r="K50" s="1186"/>
      <c r="L50" s="1186"/>
      <c r="M50" s="1186"/>
      <c r="N50" s="1186"/>
      <c r="S50" s="112"/>
    </row>
    <row r="51" spans="4:19" ht="12.75" customHeight="1" x14ac:dyDescent="0.2">
      <c r="D51" s="103"/>
      <c r="E51" s="246" t="str">
        <f>Translations!$B$394</f>
        <v>GWP (CF4)</v>
      </c>
      <c r="F51" s="424"/>
      <c r="G51" s="1186" t="str">
        <f>Translations!$B$395</f>
        <v>The global warming potential of CF4</v>
      </c>
      <c r="H51" s="1186"/>
      <c r="I51" s="1186"/>
      <c r="J51" s="1186"/>
      <c r="K51" s="1186"/>
      <c r="L51" s="1186"/>
      <c r="M51" s="1186"/>
      <c r="N51" s="1186"/>
      <c r="S51" s="112"/>
    </row>
    <row r="52" spans="4:19" ht="12.75" customHeight="1" x14ac:dyDescent="0.2">
      <c r="D52" s="103"/>
      <c r="E52" s="246" t="str">
        <f>Translations!$B$396</f>
        <v>GWP (C2F6)</v>
      </c>
      <c r="F52" s="424"/>
      <c r="G52" s="1186" t="str">
        <f>Translations!$B$397</f>
        <v>The global warming potential of C2F6</v>
      </c>
      <c r="H52" s="1186"/>
      <c r="I52" s="1186"/>
      <c r="J52" s="1186"/>
      <c r="K52" s="1186"/>
      <c r="L52" s="1186"/>
      <c r="M52" s="1186"/>
      <c r="N52" s="1186"/>
      <c r="S52" s="112"/>
    </row>
    <row r="53" spans="4:19" ht="12.75" customHeight="1" x14ac:dyDescent="0.2">
      <c r="D53" s="103"/>
      <c r="E53" s="246" t="str">
        <f>Translations!$B$398</f>
        <v>Collection efficiency</v>
      </c>
      <c r="F53" s="424"/>
      <c r="G53" s="1186" t="str">
        <f>Translations!$B$399</f>
        <v>Efficiency of the collection of the fugitive PFC emissions</v>
      </c>
      <c r="H53" s="1186"/>
      <c r="I53" s="1186"/>
      <c r="J53" s="1186"/>
      <c r="K53" s="1186"/>
      <c r="L53" s="1186"/>
      <c r="M53" s="1186"/>
      <c r="N53" s="1186"/>
      <c r="S53" s="112"/>
    </row>
    <row r="54" spans="4:19" ht="25.5" customHeight="1" x14ac:dyDescent="0.2">
      <c r="D54" s="103"/>
      <c r="E54" s="1228" t="str">
        <f>Translations!$B$400</f>
        <v>Emission sources | Measurement-based approaches (continuous emission monitoring)</v>
      </c>
      <c r="F54" s="1228"/>
      <c r="G54" s="1228"/>
      <c r="H54" s="1228"/>
      <c r="I54" s="1228"/>
      <c r="J54" s="1228"/>
      <c r="K54" s="1228"/>
      <c r="L54" s="1228"/>
      <c r="M54" s="1228"/>
      <c r="N54" s="1228"/>
      <c r="S54" s="112"/>
    </row>
    <row r="55" spans="4:19" ht="12.75" customHeight="1" x14ac:dyDescent="0.2">
      <c r="D55" s="103"/>
      <c r="E55" s="425" t="str">
        <f>Translations!$B$122</f>
        <v>Name</v>
      </c>
      <c r="F55" s="424"/>
      <c r="G55" s="1186" t="str">
        <f>Translations!$B$401</f>
        <v>Please enter here a name for the emission source or the point of emission, e.g. Stack xyz.</v>
      </c>
      <c r="H55" s="1186"/>
      <c r="I55" s="1186"/>
      <c r="J55" s="1186"/>
      <c r="K55" s="1186"/>
      <c r="L55" s="1186"/>
      <c r="M55" s="1186"/>
      <c r="N55" s="1186"/>
      <c r="S55" s="112"/>
    </row>
    <row r="56" spans="4:19" ht="12.75" customHeight="1" x14ac:dyDescent="0.2">
      <c r="D56" s="103"/>
      <c r="E56" s="246" t="str">
        <f>Translations!$B$209</f>
        <v>Type of GHG</v>
      </c>
      <c r="F56" s="424"/>
      <c r="G56" s="1186" t="str">
        <f>Translations!$B$402</f>
        <v>Please provide here the type of greenhouse gas (GHG) measured in the flue gas: CO2 or N2O.</v>
      </c>
      <c r="H56" s="1186"/>
      <c r="I56" s="1186"/>
      <c r="J56" s="1186"/>
      <c r="K56" s="1186"/>
      <c r="L56" s="1186"/>
      <c r="M56" s="1186"/>
      <c r="N56" s="1186"/>
      <c r="S56" s="112"/>
    </row>
    <row r="57" spans="4:19" ht="12.75" customHeight="1" x14ac:dyDescent="0.2">
      <c r="D57" s="103"/>
      <c r="E57" s="246" t="str">
        <f>Translations!$B$403</f>
        <v xml:space="preserve">hourly average GHG conc. </v>
      </c>
      <c r="F57" s="424"/>
      <c r="G57" s="1186" t="str">
        <f>Translations!$B$404</f>
        <v>The weighted average hourly concentration of the GHG measured (g per Nm³)</v>
      </c>
      <c r="H57" s="1186"/>
      <c r="I57" s="1186"/>
      <c r="J57" s="1186"/>
      <c r="K57" s="1186"/>
      <c r="L57" s="1186"/>
      <c r="M57" s="1186"/>
      <c r="N57" s="1186"/>
      <c r="S57" s="112"/>
    </row>
    <row r="58" spans="4:19" ht="25.5" customHeight="1" x14ac:dyDescent="0.2">
      <c r="D58" s="103"/>
      <c r="E58" s="246" t="str">
        <f>Translations!$B$377</f>
        <v>BioC</v>
      </c>
      <c r="F58" s="424"/>
      <c r="G58" s="1186" t="str">
        <f>Translations!$B$378</f>
        <v>The biomass fraction is the ratio of carbon stemming from biomass to the total carbon content of a fuel or material, expressed as percentage.</v>
      </c>
      <c r="H58" s="1186"/>
      <c r="I58" s="1186"/>
      <c r="J58" s="1186"/>
      <c r="K58" s="1186"/>
      <c r="L58" s="1186"/>
      <c r="M58" s="1186"/>
      <c r="N58" s="1186"/>
      <c r="S58" s="112"/>
    </row>
    <row r="59" spans="4:19" ht="12.75" customHeight="1" x14ac:dyDescent="0.2">
      <c r="D59" s="103"/>
      <c r="E59" s="246" t="str">
        <f>Translations!$B$405</f>
        <v>Hours operating</v>
      </c>
      <c r="F59" s="424"/>
      <c r="G59" s="1186" t="str">
        <f>Translations!$B$406</f>
        <v>The total hours of operation of the production process</v>
      </c>
      <c r="H59" s="1186"/>
      <c r="I59" s="1186"/>
      <c r="J59" s="1186"/>
      <c r="K59" s="1186"/>
      <c r="L59" s="1186"/>
      <c r="M59" s="1186"/>
      <c r="N59" s="1186"/>
      <c r="S59" s="112"/>
    </row>
    <row r="60" spans="4:19" ht="12.75" customHeight="1" x14ac:dyDescent="0.2">
      <c r="D60" s="103"/>
      <c r="E60" s="246" t="str">
        <f>Translations!$B$407</f>
        <v>Flue gas</v>
      </c>
      <c r="F60" s="424"/>
      <c r="G60" s="1186" t="str">
        <f>Translations!$B$408</f>
        <v>The total volume of the flue gas</v>
      </c>
      <c r="H60" s="1186"/>
      <c r="I60" s="1186"/>
      <c r="J60" s="1186"/>
      <c r="K60" s="1186"/>
      <c r="L60" s="1186"/>
      <c r="M60" s="1186"/>
      <c r="N60" s="1186"/>
      <c r="S60" s="112"/>
    </row>
    <row r="61" spans="4:19" ht="12.75" customHeight="1" x14ac:dyDescent="0.2">
      <c r="D61" s="103"/>
      <c r="E61" s="247" t="str">
        <f>Translations!$B$409</f>
        <v>Energy content</v>
      </c>
      <c r="F61" s="513"/>
      <c r="G61" s="1188" t="str">
        <f>Translations!$B$410</f>
        <v>The energy content of the fuels or materials entering the production process</v>
      </c>
      <c r="H61" s="1188"/>
      <c r="I61" s="1188"/>
      <c r="J61" s="1188"/>
      <c r="K61" s="1188"/>
      <c r="L61" s="1188"/>
      <c r="M61" s="1188"/>
      <c r="N61" s="1188"/>
      <c r="S61" s="112"/>
    </row>
    <row r="62" spans="4:19" ht="5.0999999999999996" customHeight="1" x14ac:dyDescent="0.2">
      <c r="D62" s="103"/>
      <c r="E62" s="113"/>
      <c r="F62" s="113"/>
      <c r="G62" s="113"/>
      <c r="H62" s="113"/>
      <c r="I62" s="113"/>
      <c r="J62" s="113"/>
      <c r="K62" s="113"/>
      <c r="L62" s="113"/>
      <c r="M62" s="113"/>
      <c r="S62" s="112"/>
    </row>
    <row r="63" spans="4:19" ht="12.75" customHeight="1" x14ac:dyDescent="0.2">
      <c r="D63" s="103"/>
      <c r="E63" s="1226" t="str">
        <f ca="1">HYPERLINK("#"&amp;S63,CONST_LinkFromGuidance)</f>
        <v>Please click on this link if you want to go back to the relevant section for data entry.</v>
      </c>
      <c r="F63" s="1226"/>
      <c r="G63" s="1226"/>
      <c r="H63" s="1226"/>
      <c r="I63" s="1226"/>
      <c r="J63" s="1226"/>
      <c r="K63" s="1226"/>
      <c r="L63" s="1226"/>
      <c r="M63" s="1226"/>
      <c r="N63" s="1226"/>
      <c r="R63" s="89" t="s">
        <v>1348</v>
      </c>
      <c r="S63" s="116" t="str">
        <f ca="1">ADDRESS(17,4,,,B_EmInst!$BD$2)</f>
        <v>B_EmInst!$D$17</v>
      </c>
    </row>
    <row r="64" spans="4:19" ht="12.75" customHeight="1" x14ac:dyDescent="0.2">
      <c r="D64" s="103"/>
      <c r="E64" s="113"/>
      <c r="F64" s="113"/>
      <c r="G64" s="113"/>
      <c r="H64" s="113"/>
      <c r="I64" s="113"/>
      <c r="J64" s="113"/>
      <c r="K64" s="113"/>
      <c r="L64" s="113"/>
      <c r="M64" s="113"/>
      <c r="S64" s="112"/>
    </row>
    <row r="65" spans="1:23" ht="18" customHeight="1" x14ac:dyDescent="0.25">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x14ac:dyDescent="0.2">
      <c r="D66" s="103"/>
      <c r="E66" s="113"/>
      <c r="F66" s="113"/>
      <c r="G66" s="113"/>
      <c r="H66" s="113"/>
      <c r="I66" s="113"/>
      <c r="J66" s="113"/>
      <c r="K66" s="113"/>
      <c r="L66" s="113"/>
      <c r="M66" s="113"/>
      <c r="S66" s="112"/>
    </row>
    <row r="67" spans="1:23" ht="5.0999999999999996" customHeight="1" x14ac:dyDescent="0.2">
      <c r="C67" s="24"/>
      <c r="D67" s="368"/>
      <c r="E67" s="1219"/>
      <c r="F67" s="1220"/>
      <c r="G67" s="1220"/>
      <c r="H67" s="1220"/>
      <c r="I67" s="1220"/>
      <c r="J67" s="1220"/>
      <c r="K67" s="1220"/>
      <c r="L67" s="1220"/>
      <c r="M67" s="1220"/>
      <c r="N67" s="1220"/>
    </row>
    <row r="68" spans="1:23" ht="25.5" customHeight="1" x14ac:dyDescent="0.2">
      <c r="C68" s="24"/>
      <c r="D68" s="368"/>
      <c r="E68" s="1107" t="str">
        <f>Translations!$B$412</f>
        <v>In sheet "D_Processes" the data inputs required are needed in order to calculate the specific emissions of each production processes, based on which the specific embedded emissions are calculated in this template.</v>
      </c>
      <c r="F68" s="1232"/>
      <c r="G68" s="1232"/>
      <c r="H68" s="1232"/>
      <c r="I68" s="1232"/>
      <c r="J68" s="1232"/>
      <c r="K68" s="1232"/>
      <c r="L68" s="1232"/>
      <c r="M68" s="1232"/>
      <c r="N68" s="1232"/>
    </row>
    <row r="69" spans="1:23" ht="12.75" customHeight="1" x14ac:dyDescent="0.2">
      <c r="C69" s="24"/>
      <c r="D69" s="369"/>
      <c r="E69" s="1219" t="str">
        <f>Translations!$B$413</f>
        <v>Entries in sheet "E_PurchPrec" require similar entries. Further guidance is provided there.</v>
      </c>
      <c r="F69" s="1220"/>
      <c r="G69" s="1220"/>
      <c r="H69" s="1220"/>
      <c r="I69" s="1220"/>
      <c r="J69" s="1220"/>
      <c r="K69" s="1220"/>
      <c r="L69" s="1220"/>
      <c r="M69" s="1220"/>
      <c r="N69" s="1220"/>
    </row>
    <row r="70" spans="1:23" ht="5.0999999999999996" customHeight="1" x14ac:dyDescent="0.2">
      <c r="C70" s="24"/>
      <c r="D70" s="369"/>
      <c r="E70" s="1219"/>
      <c r="F70" s="1220"/>
      <c r="G70" s="1220"/>
      <c r="H70" s="1220"/>
      <c r="I70" s="1220"/>
      <c r="J70" s="1220"/>
      <c r="K70" s="1220"/>
      <c r="L70" s="1220"/>
      <c r="M70" s="1220"/>
      <c r="N70" s="1220"/>
    </row>
    <row r="71" spans="1:23" ht="5.0999999999999996" customHeight="1" x14ac:dyDescent="0.2">
      <c r="D71" s="103"/>
      <c r="E71" s="113"/>
      <c r="F71" s="113"/>
      <c r="G71" s="113"/>
      <c r="H71" s="113"/>
      <c r="I71" s="113"/>
      <c r="J71" s="113"/>
      <c r="K71" s="113"/>
      <c r="L71" s="113"/>
      <c r="M71" s="113"/>
      <c r="S71" s="112"/>
    </row>
    <row r="72" spans="1:23" ht="12.75" customHeight="1" x14ac:dyDescent="0.2">
      <c r="D72" s="103"/>
      <c r="E72" s="1226" t="str">
        <f ca="1">HYPERLINK("#"&amp;S72,CONST_LinkFromGuidance)</f>
        <v>Please click on this link if you want to go back to the relevant section for data entry.</v>
      </c>
      <c r="F72" s="1226"/>
      <c r="G72" s="1226"/>
      <c r="H72" s="1226"/>
      <c r="I72" s="1226"/>
      <c r="J72" s="1226"/>
      <c r="K72" s="1226"/>
      <c r="L72" s="1226"/>
      <c r="M72" s="1226"/>
      <c r="N72" s="1226"/>
      <c r="R72" s="89" t="s">
        <v>1348</v>
      </c>
      <c r="S72" s="116" t="str">
        <f ca="1">ADDRESS(11,10,,,D_Processes!$U$2)</f>
        <v>D_Processes!$J$11</v>
      </c>
    </row>
    <row r="73" spans="1:23" ht="12.75" customHeight="1" x14ac:dyDescent="0.2">
      <c r="D73" s="103"/>
      <c r="E73" s="113"/>
      <c r="F73" s="113"/>
      <c r="G73" s="113"/>
      <c r="H73" s="113"/>
      <c r="I73" s="113"/>
      <c r="J73" s="113"/>
      <c r="K73" s="113"/>
      <c r="L73" s="113"/>
      <c r="M73" s="113"/>
      <c r="S73" s="112"/>
    </row>
    <row r="74" spans="1:23" ht="25.5" customHeight="1" x14ac:dyDescent="0.2">
      <c r="D74" s="511" t="str">
        <f>Translations!$B$414</f>
        <v>a)</v>
      </c>
      <c r="E74" s="544" t="str">
        <f>Translations!$B$415</f>
        <v>Total production</v>
      </c>
      <c r="F74" s="654" t="str">
        <f>Translations!$B$416</f>
        <v>SEE Denominator</v>
      </c>
      <c r="G74" s="1184" t="str">
        <f>Translations!$B$417</f>
        <v>Please provide here the total amount of goods produced in the relevant production process, distinguishing amounts by the relevant production route. This is the denominator for the calculation of the specific embedded emissions.</v>
      </c>
      <c r="H74" s="1184"/>
      <c r="I74" s="1184"/>
      <c r="J74" s="1184"/>
      <c r="K74" s="1184"/>
      <c r="L74" s="1184"/>
      <c r="M74" s="1184"/>
      <c r="N74" s="1184"/>
      <c r="S74" s="112"/>
    </row>
    <row r="75" spans="1:23" ht="25.5" customHeight="1" x14ac:dyDescent="0.2">
      <c r="D75" s="511" t="str">
        <f>Translations!$B$418</f>
        <v>b)</v>
      </c>
      <c r="E75" s="423" t="str">
        <f>Translations!$B$419</f>
        <v>Production for the market</v>
      </c>
      <c r="F75" s="424"/>
      <c r="G75" s="1186" t="str">
        <f>Translations!$B$420</f>
        <v>Please provide here the total amount of goods that are placed on the market (any market, not only the European Union) and not further processed into goods within another production process of the installation.</v>
      </c>
      <c r="H75" s="1186"/>
      <c r="I75" s="1186"/>
      <c r="J75" s="1186"/>
      <c r="K75" s="1186"/>
      <c r="L75" s="1186"/>
      <c r="M75" s="1186"/>
      <c r="N75" s="1186"/>
      <c r="S75" s="112"/>
    </row>
    <row r="76" spans="1:23" ht="51" customHeight="1" x14ac:dyDescent="0.2">
      <c r="D76" s="511" t="str">
        <f>Translations!$B$421</f>
        <v>c)</v>
      </c>
      <c r="E76" s="423" t="str">
        <f>Translations!$B$422</f>
        <v>Consumed in other 'production processes'</v>
      </c>
      <c r="F76" s="424"/>
      <c r="G76" s="1186"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6"/>
      <c r="I76" s="1186"/>
      <c r="J76" s="1186"/>
      <c r="K76" s="1186"/>
      <c r="L76" s="1186"/>
      <c r="M76" s="1186"/>
      <c r="N76" s="1186"/>
      <c r="S76" s="112"/>
    </row>
    <row r="77" spans="1:23" ht="25.5" customHeight="1" x14ac:dyDescent="0.2">
      <c r="D77" s="511" t="str">
        <f>Translations!$B$424</f>
        <v>d)</v>
      </c>
      <c r="E77" s="423" t="str">
        <f>Translations!$B$425</f>
        <v>Consumed for non-CBAM goods</v>
      </c>
      <c r="F77" s="424"/>
      <c r="G77" s="1186" t="str">
        <f>Translations!$B$426</f>
        <v>Please provide here the total amount of goods that are consumed in production processes within the installation which produce goods that are not covered by the scope of the CBAM.</v>
      </c>
      <c r="H77" s="1186"/>
      <c r="I77" s="1186"/>
      <c r="J77" s="1186"/>
      <c r="K77" s="1186"/>
      <c r="L77" s="1186"/>
      <c r="M77" s="1186"/>
      <c r="N77" s="1186"/>
      <c r="S77" s="112"/>
    </row>
    <row r="78" spans="1:23" ht="12.75" customHeight="1" x14ac:dyDescent="0.2">
      <c r="D78" s="511" t="str">
        <f>Translations!$B$427</f>
        <v>e)</v>
      </c>
      <c r="E78" s="423" t="str">
        <f>Translations!$B$428</f>
        <v>Control</v>
      </c>
      <c r="F78" s="424"/>
      <c r="G78" s="1186" t="str">
        <f>Translations!$B$429</f>
        <v>This is an automatic calculation "a-(b+c+d)". Please ensure that this value is zero.</v>
      </c>
      <c r="H78" s="1186"/>
      <c r="I78" s="1186"/>
      <c r="J78" s="1186"/>
      <c r="K78" s="1186"/>
      <c r="L78" s="1186"/>
      <c r="M78" s="1186"/>
      <c r="N78" s="1186"/>
      <c r="S78" s="112"/>
    </row>
    <row r="79" spans="1:23" ht="25.5" customHeight="1" x14ac:dyDescent="0.2">
      <c r="D79" s="511" t="str">
        <f>Translations!$B$430</f>
        <v>f)</v>
      </c>
      <c r="E79" s="1224" t="str">
        <f>Translations!$B$431</f>
        <v>Applicable elements</v>
      </c>
      <c r="F79" s="427"/>
      <c r="G79" s="1186" t="str">
        <f>Translations!$B$432</f>
        <v>Please select here whether measurable heat (e.g. steam) or waste gases are imported to or exported from the relevant production process. The relevance of indirect emissions from electricity are shown automatically here.</v>
      </c>
      <c r="H79" s="1186"/>
      <c r="I79" s="1186"/>
      <c r="J79" s="1186"/>
      <c r="K79" s="1186"/>
      <c r="L79" s="1186"/>
      <c r="M79" s="1186"/>
      <c r="N79" s="1186"/>
      <c r="S79" s="112"/>
    </row>
    <row r="80" spans="1:23" ht="38.25" customHeight="1" x14ac:dyDescent="0.2">
      <c r="D80" s="511"/>
      <c r="E80" s="1225"/>
      <c r="F80" s="426"/>
      <c r="G80" s="1186"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6"/>
      <c r="I80" s="1186"/>
      <c r="J80" s="1186"/>
      <c r="K80" s="1186"/>
      <c r="L80" s="1186"/>
      <c r="M80" s="1186"/>
      <c r="N80" s="1186"/>
      <c r="S80" s="112"/>
    </row>
    <row r="81" spans="4:19" ht="25.5" customHeight="1" x14ac:dyDescent="0.2">
      <c r="D81" s="511" t="str">
        <f>Translations!$B$434</f>
        <v>g)</v>
      </c>
      <c r="E81" s="423" t="str">
        <f>Translations!$B$435</f>
        <v>DirEm*</v>
      </c>
      <c r="F81" s="655"/>
      <c r="G81" s="1186" t="str">
        <f>Translations!$B$436</f>
        <v>Please include here all emissions directly linked to and therefore attributable to the production process taking into consideration the further provisions below.</v>
      </c>
      <c r="H81" s="1186"/>
      <c r="I81" s="1186"/>
      <c r="J81" s="1186"/>
      <c r="K81" s="1186"/>
      <c r="L81" s="1186"/>
      <c r="M81" s="1186"/>
      <c r="N81" s="1186"/>
      <c r="S81" s="112"/>
    </row>
    <row r="82" spans="4:19" ht="38.25" customHeight="1" x14ac:dyDescent="0.2">
      <c r="D82" s="511"/>
      <c r="E82" s="458"/>
      <c r="F82" s="1235" t="str">
        <f>Translations!$B$437</f>
        <v>Avoidance of double counting</v>
      </c>
      <c r="G82" s="1186"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6"/>
      <c r="I82" s="1186"/>
      <c r="J82" s="1186"/>
      <c r="K82" s="1186"/>
      <c r="L82" s="1186"/>
      <c r="M82" s="1186"/>
      <c r="N82" s="1186"/>
      <c r="S82" s="112"/>
    </row>
    <row r="83" spans="4:19" ht="38.25" customHeight="1" x14ac:dyDescent="0.2">
      <c r="D83" s="511"/>
      <c r="E83" s="458"/>
      <c r="F83" s="1235"/>
      <c r="G83" s="1186"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6"/>
      <c r="I83" s="1186"/>
      <c r="J83" s="1186"/>
      <c r="K83" s="1186"/>
      <c r="L83" s="1186"/>
      <c r="M83" s="1186"/>
      <c r="N83" s="1186"/>
      <c r="S83" s="112"/>
    </row>
    <row r="84" spans="4:19" ht="12.75" customHeight="1" x14ac:dyDescent="0.25">
      <c r="D84" s="437"/>
      <c r="E84" s="512"/>
      <c r="F84" s="1235"/>
      <c r="G84" s="1234" t="str">
        <f ca="1">HYPERLINK("#"&amp;ADDRESS(MATCH($S84,F_Tools!$S:$S,0),3,,,F_Tools!$U$2),CONST_LinkToCHPTool)</f>
        <v>Please click on this link to go to the "CHP Tool for attributing emissions between heat and electricity".</v>
      </c>
      <c r="H84" s="1225"/>
      <c r="I84" s="1225"/>
      <c r="J84" s="1225"/>
      <c r="K84" s="1225"/>
      <c r="L84" s="1225"/>
      <c r="M84" s="1225"/>
      <c r="N84" s="1225"/>
      <c r="R84" s="104" t="s">
        <v>1320</v>
      </c>
      <c r="S84" s="105">
        <v>1</v>
      </c>
    </row>
    <row r="85" spans="4:19" ht="25.5" customHeight="1" x14ac:dyDescent="0.2">
      <c r="D85" s="511"/>
      <c r="E85" s="458"/>
      <c r="F85" s="1235"/>
      <c r="G85" s="1186" t="str">
        <f>Translations!$B$440</f>
        <v>Waste gases: special rules apply here. Emissions from waste gases produced in another production process and consumed in this process should NOT be reported under DirEm*, but under 'Waste gas imported' below.</v>
      </c>
      <c r="H85" s="1186"/>
      <c r="I85" s="1186"/>
      <c r="J85" s="1186"/>
      <c r="K85" s="1186"/>
      <c r="L85" s="1186"/>
      <c r="M85" s="1186"/>
      <c r="N85" s="1186"/>
      <c r="S85" s="112"/>
    </row>
    <row r="86" spans="4:19" ht="63.75" customHeight="1" x14ac:dyDescent="0.2">
      <c r="D86" s="511"/>
      <c r="E86" s="425"/>
      <c r="F86" s="1236"/>
      <c r="G86" s="1186"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6"/>
      <c r="I86" s="1186"/>
      <c r="J86" s="1186"/>
      <c r="K86" s="1186"/>
      <c r="L86" s="1186"/>
      <c r="M86" s="1186"/>
      <c r="N86" s="1186"/>
      <c r="S86" s="112"/>
    </row>
    <row r="87" spans="4:19" ht="38.25" customHeight="1" x14ac:dyDescent="0.2">
      <c r="D87" s="511" t="str">
        <f>Translations!$B$442</f>
        <v>h)</v>
      </c>
      <c r="E87" s="1224" t="str">
        <f>Translations!$B$262</f>
        <v>Import and export of measurable heat</v>
      </c>
      <c r="F87" s="427"/>
      <c r="G87" s="1186"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6"/>
      <c r="I87" s="1186"/>
      <c r="J87" s="1186"/>
      <c r="K87" s="1186"/>
      <c r="L87" s="1186"/>
      <c r="M87" s="1186"/>
      <c r="N87" s="1186"/>
      <c r="S87" s="112"/>
    </row>
    <row r="88" spans="4:19" ht="25.5" customHeight="1" x14ac:dyDescent="0.2">
      <c r="D88" s="511"/>
      <c r="E88" s="1129"/>
      <c r="F88" s="459"/>
      <c r="G88" s="1186"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6"/>
      <c r="I88" s="1186"/>
      <c r="J88" s="1186"/>
      <c r="K88" s="1186"/>
      <c r="L88" s="1186"/>
      <c r="M88" s="1186"/>
      <c r="N88" s="1186"/>
      <c r="S88" s="112"/>
    </row>
    <row r="89" spans="4:19" ht="12.75" customHeight="1" x14ac:dyDescent="0.2">
      <c r="D89" s="511"/>
      <c r="E89" s="1129"/>
      <c r="F89" s="459"/>
      <c r="G89" s="1186" t="str">
        <f>Translations!$B$445</f>
        <v>For the EF of heat produced in a CHP, please see the reference to the "CHP Tool" above.</v>
      </c>
      <c r="H89" s="1186"/>
      <c r="I89" s="1186"/>
      <c r="J89" s="1186"/>
      <c r="K89" s="1186"/>
      <c r="L89" s="1186"/>
      <c r="M89" s="1186"/>
      <c r="N89" s="1186"/>
      <c r="S89" s="112"/>
    </row>
    <row r="90" spans="4:19" ht="38.25" customHeight="1" x14ac:dyDescent="0.2">
      <c r="D90" s="511"/>
      <c r="E90" s="1129"/>
      <c r="F90" s="459"/>
      <c r="G90" s="1186"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6"/>
      <c r="I90" s="1186"/>
      <c r="J90" s="1186"/>
      <c r="K90" s="1186"/>
      <c r="L90" s="1186"/>
      <c r="M90" s="1186"/>
      <c r="N90" s="1186"/>
      <c r="S90" s="112"/>
    </row>
    <row r="91" spans="4:19" ht="12.75" customHeight="1" x14ac:dyDescent="0.2">
      <c r="D91" s="511"/>
      <c r="E91" s="1225"/>
      <c r="F91" s="426"/>
      <c r="G91" s="1186" t="str">
        <f>Translations!$B$447</f>
        <v>Heat recovered and NOT exported but used within the production process shall not be reported under exported heat.</v>
      </c>
      <c r="H91" s="1186"/>
      <c r="I91" s="1186"/>
      <c r="J91" s="1186"/>
      <c r="K91" s="1186"/>
      <c r="L91" s="1186"/>
      <c r="M91" s="1186"/>
      <c r="N91" s="1186"/>
      <c r="S91" s="112"/>
    </row>
    <row r="92" spans="4:19" ht="38.25" customHeight="1" x14ac:dyDescent="0.2">
      <c r="D92" s="511" t="str">
        <f>Translations!$B$448</f>
        <v>i)</v>
      </c>
      <c r="E92" s="1224" t="str">
        <f>Translations!$B$449</f>
        <v>Import and export of waste gases</v>
      </c>
      <c r="F92" s="427"/>
      <c r="G92" s="1186"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6"/>
      <c r="I92" s="1186"/>
      <c r="J92" s="1186"/>
      <c r="K92" s="1186"/>
      <c r="L92" s="1186"/>
      <c r="M92" s="1186"/>
      <c r="N92" s="1186"/>
      <c r="S92" s="112"/>
    </row>
    <row r="93" spans="4:19" ht="25.5" customHeight="1" x14ac:dyDescent="0.2">
      <c r="D93" s="511"/>
      <c r="E93" s="1225"/>
      <c r="F93" s="426"/>
      <c r="G93" s="1186" t="str">
        <f>Translations!$B$451</f>
        <v>The emission factor of the waste gases will not impact the emissions attributed to this production process, due to the special rules for waste gases. Inputs there are therefore optional.</v>
      </c>
      <c r="H93" s="1186"/>
      <c r="I93" s="1186"/>
      <c r="J93" s="1186"/>
      <c r="K93" s="1186"/>
      <c r="L93" s="1186"/>
      <c r="M93" s="1186"/>
      <c r="N93" s="1186"/>
      <c r="S93" s="112"/>
    </row>
    <row r="94" spans="4:19" ht="12.75" customHeight="1" x14ac:dyDescent="0.2">
      <c r="D94" s="511" t="str">
        <f>Translations!$B$452</f>
        <v>j)</v>
      </c>
      <c r="E94" s="1224" t="str">
        <f>Translations!$B$269</f>
        <v>Indirect emissions from electricity consumption</v>
      </c>
      <c r="F94" s="427"/>
      <c r="G94" s="1186" t="str">
        <f>Translations!$B$453</f>
        <v>Please enter the total amount of electricity consumed within the system boundaries of the production process.</v>
      </c>
      <c r="H94" s="1186"/>
      <c r="I94" s="1186"/>
      <c r="J94" s="1186"/>
      <c r="K94" s="1186"/>
      <c r="L94" s="1186"/>
      <c r="M94" s="1186"/>
      <c r="N94" s="1186"/>
      <c r="S94" s="112"/>
    </row>
    <row r="95" spans="4:19" ht="12.75" customHeight="1" x14ac:dyDescent="0.2">
      <c r="D95" s="511"/>
      <c r="E95" s="1129"/>
      <c r="F95" s="459"/>
      <c r="G95" s="1186" t="str">
        <f>Translations!$B$454</f>
        <v>Please enter the average emission factor of the electricity consumed using the methods below for determination of this factor.</v>
      </c>
      <c r="H95" s="1186"/>
      <c r="I95" s="1186"/>
      <c r="J95" s="1186"/>
      <c r="K95" s="1186"/>
      <c r="L95" s="1186"/>
      <c r="M95" s="1186"/>
      <c r="N95" s="1186"/>
      <c r="S95" s="112"/>
    </row>
    <row r="96" spans="4:19" ht="12.75" customHeight="1" x14ac:dyDescent="0.2">
      <c r="D96" s="511"/>
      <c r="E96" s="1129"/>
      <c r="F96" s="459"/>
      <c r="G96" s="1186" t="str">
        <f>Translations!$B$455</f>
        <v>The emission factor of the electricity can be determined by the following methods:</v>
      </c>
      <c r="H96" s="1186"/>
      <c r="I96" s="1186"/>
      <c r="J96" s="1186"/>
      <c r="K96" s="1186"/>
      <c r="L96" s="1186"/>
      <c r="M96" s="1186"/>
      <c r="N96" s="1186"/>
      <c r="S96" s="112"/>
    </row>
    <row r="97" spans="1:23" ht="12.75" customHeight="1" x14ac:dyDescent="0.2">
      <c r="D97" s="511"/>
      <c r="E97" s="1129"/>
      <c r="F97" s="426" t="s">
        <v>1349</v>
      </c>
      <c r="G97" s="1186" t="str">
        <f>Translations!$B$456</f>
        <v xml:space="preserve">CO2 emission factor based on specific default values  </v>
      </c>
      <c r="H97" s="1186"/>
      <c r="I97" s="1186"/>
      <c r="J97" s="1186"/>
      <c r="K97" s="1186"/>
      <c r="L97" s="1186"/>
      <c r="M97" s="1186"/>
      <c r="N97" s="1186"/>
      <c r="S97" s="112"/>
    </row>
    <row r="98" spans="1:23" ht="12.75" customHeight="1" x14ac:dyDescent="0.2">
      <c r="D98" s="511"/>
      <c r="E98" s="1129"/>
      <c r="F98" s="424" t="s">
        <v>1350</v>
      </c>
      <c r="G98" s="1186" t="str">
        <f>Translations!$B$457</f>
        <v xml:space="preserve">CO2 emission factor based on alternative default value </v>
      </c>
      <c r="H98" s="1186"/>
      <c r="I98" s="1186"/>
      <c r="J98" s="1186"/>
      <c r="K98" s="1186"/>
      <c r="L98" s="1186"/>
      <c r="M98" s="1186"/>
      <c r="N98" s="1186"/>
      <c r="S98" s="112"/>
    </row>
    <row r="99" spans="1:23" ht="12.75" customHeight="1" x14ac:dyDescent="0.2">
      <c r="D99" s="511"/>
      <c r="E99" s="1129"/>
      <c r="F99" s="424" t="s">
        <v>1351</v>
      </c>
      <c r="G99" s="1186" t="str">
        <f>Translations!$B$458</f>
        <v>CO2 emission factor based on reliable data demonstrated by the importer</v>
      </c>
      <c r="H99" s="1186"/>
      <c r="I99" s="1186"/>
      <c r="J99" s="1186"/>
      <c r="K99" s="1186"/>
      <c r="L99" s="1186"/>
      <c r="M99" s="1186"/>
      <c r="N99" s="1186"/>
      <c r="S99" s="112"/>
    </row>
    <row r="100" spans="1:23" ht="12.75" customHeight="1" x14ac:dyDescent="0.2">
      <c r="D100" s="511"/>
      <c r="E100" s="1129"/>
      <c r="F100" s="424" t="s">
        <v>1352</v>
      </c>
      <c r="G100" s="1186" t="str">
        <f>Translations!$B$459</f>
        <v xml:space="preserve">CO2 emission factor based on actual CO2 emissions of the installation </v>
      </c>
      <c r="H100" s="1186"/>
      <c r="I100" s="1186"/>
      <c r="J100" s="1186"/>
      <c r="K100" s="1186"/>
      <c r="L100" s="1186"/>
      <c r="M100" s="1186"/>
      <c r="N100" s="1186"/>
      <c r="S100" s="112"/>
    </row>
    <row r="101" spans="1:23" ht="25.5" customHeight="1" x14ac:dyDescent="0.2">
      <c r="D101" s="511"/>
      <c r="E101" s="1225"/>
      <c r="F101" s="427" t="str">
        <f>Translations!$B$460</f>
        <v>Mix</v>
      </c>
      <c r="G101" s="1186" t="str">
        <f>Translations!$B$461</f>
        <v>Where the electricity is not predominantly obtained from one source or the EF determined by more than one of the above sources, the EF is determined as a mix of the methods above.</v>
      </c>
      <c r="H101" s="1186"/>
      <c r="I101" s="1186"/>
      <c r="J101" s="1186"/>
      <c r="K101" s="1186"/>
      <c r="L101" s="1186"/>
      <c r="M101" s="1186"/>
      <c r="N101" s="1186"/>
      <c r="S101" s="112"/>
    </row>
    <row r="102" spans="1:23" ht="38.25" customHeight="1" x14ac:dyDescent="0.2">
      <c r="D102" s="511" t="str">
        <f>Translations!$B$462</f>
        <v>k)</v>
      </c>
      <c r="E102" s="247" t="str">
        <f>Translations!$B$463</f>
        <v>Electricity exported</v>
      </c>
      <c r="F102" s="513"/>
      <c r="G102" s="1188"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88"/>
      <c r="I102" s="1188"/>
      <c r="J102" s="1188"/>
      <c r="K102" s="1188"/>
      <c r="L102" s="1188"/>
      <c r="M102" s="1188"/>
      <c r="N102" s="1188"/>
      <c r="S102" s="112"/>
    </row>
    <row r="103" spans="1:23" ht="5.0999999999999996" customHeight="1" x14ac:dyDescent="0.2">
      <c r="D103" s="103"/>
      <c r="E103" s="113"/>
      <c r="F103" s="113"/>
      <c r="G103" s="113"/>
      <c r="H103" s="113"/>
      <c r="I103" s="113"/>
      <c r="J103" s="113"/>
      <c r="K103" s="113"/>
      <c r="L103" s="113"/>
      <c r="M103" s="113"/>
      <c r="S103" s="112"/>
    </row>
    <row r="104" spans="1:23" ht="12.75" customHeight="1" x14ac:dyDescent="0.2">
      <c r="D104" s="103"/>
      <c r="E104" s="1226" t="str">
        <f ca="1">HYPERLINK("#"&amp;S104,CONST_LinkFromGuidance)</f>
        <v>Please click on this link if you want to go back to the relevant section for data entry.</v>
      </c>
      <c r="F104" s="1226"/>
      <c r="G104" s="1226"/>
      <c r="H104" s="1226"/>
      <c r="I104" s="1226"/>
      <c r="J104" s="1226"/>
      <c r="K104" s="1226"/>
      <c r="L104" s="1226"/>
      <c r="M104" s="1226"/>
      <c r="N104" s="1226"/>
      <c r="R104" s="89" t="s">
        <v>1348</v>
      </c>
      <c r="S104" s="116" t="str">
        <f ca="1">S72</f>
        <v>D_Processes!$J$11</v>
      </c>
    </row>
    <row r="105" spans="1:23" ht="12.75" customHeight="1" x14ac:dyDescent="0.2">
      <c r="D105" s="103"/>
      <c r="E105" s="113"/>
      <c r="F105" s="113"/>
      <c r="G105" s="113"/>
      <c r="H105" s="113"/>
      <c r="I105" s="113"/>
      <c r="J105" s="113"/>
      <c r="K105" s="113"/>
      <c r="L105" s="113"/>
      <c r="M105" s="113"/>
      <c r="S105" s="112"/>
    </row>
    <row r="106" spans="1:23" ht="18" customHeight="1" x14ac:dyDescent="0.25">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x14ac:dyDescent="0.2">
      <c r="D107" s="103"/>
      <c r="E107" s="113"/>
      <c r="F107" s="113"/>
      <c r="G107" s="113"/>
      <c r="H107" s="113"/>
      <c r="I107" s="113"/>
      <c r="J107" s="113"/>
      <c r="K107" s="113"/>
      <c r="L107" s="113"/>
      <c r="M107" s="113"/>
      <c r="S107" s="112"/>
    </row>
    <row r="108" spans="1:23" ht="5.0999999999999996" customHeight="1" x14ac:dyDescent="0.2">
      <c r="D108" s="508"/>
      <c r="E108" s="509"/>
      <c r="F108" s="509"/>
      <c r="G108" s="509"/>
      <c r="H108" s="509"/>
      <c r="I108" s="509"/>
      <c r="J108" s="509"/>
      <c r="K108" s="509"/>
      <c r="L108" s="509"/>
      <c r="M108" s="509"/>
      <c r="N108" s="510"/>
      <c r="S108" s="112"/>
    </row>
    <row r="109" spans="1:23" ht="12.75" customHeight="1" x14ac:dyDescent="0.2">
      <c r="C109" s="24"/>
      <c r="D109" s="368"/>
      <c r="E109" s="1219" t="str">
        <f>Translations!$B$466</f>
        <v>Please find below the detailed guidance on how to complete the sheet "Summary_Products".</v>
      </c>
      <c r="F109" s="1220"/>
      <c r="G109" s="1220"/>
      <c r="H109" s="1220"/>
      <c r="I109" s="1220"/>
      <c r="J109" s="1220"/>
      <c r="K109" s="1220"/>
      <c r="L109" s="1220"/>
      <c r="M109" s="1220"/>
      <c r="N109" s="1220"/>
    </row>
    <row r="110" spans="1:23" ht="25.5" customHeight="1" x14ac:dyDescent="0.2">
      <c r="C110" s="24"/>
      <c r="D110" s="368"/>
      <c r="E110" s="1107" t="str">
        <f>Translations!$B$467</f>
        <v>Sheet "Summary_Products" will be crucial for the communication with the 'reporting declarant' as it contains the main information required in order to correctly fill in the 'CBAM report' for importing the goods into the European Union.</v>
      </c>
      <c r="F110" s="1232"/>
      <c r="G110" s="1232"/>
      <c r="H110" s="1232"/>
      <c r="I110" s="1232"/>
      <c r="J110" s="1232"/>
      <c r="K110" s="1232"/>
      <c r="L110" s="1232"/>
      <c r="M110" s="1232"/>
      <c r="N110" s="1232"/>
    </row>
    <row r="111" spans="1:23" ht="25.5" customHeight="1" x14ac:dyDescent="0.2">
      <c r="C111" s="24"/>
      <c r="D111" s="368"/>
      <c r="E111" s="1219" t="str">
        <f>Translations!$B$468</f>
        <v>The information provided there should be for each type of good imported into the EU. The type of goods should be listed as disaggregated as possible, i.e. splitting type of goods by their CN codes using as many digits as possible.</v>
      </c>
      <c r="F111" s="1233"/>
      <c r="G111" s="1233"/>
      <c r="H111" s="1233"/>
      <c r="I111" s="1233"/>
      <c r="J111" s="1233"/>
      <c r="K111" s="1233"/>
      <c r="L111" s="1233"/>
      <c r="M111" s="1233"/>
      <c r="N111" s="1233"/>
    </row>
    <row r="112" spans="1:23" ht="12.75" customHeight="1" x14ac:dyDescent="0.2">
      <c r="C112" s="24"/>
      <c r="D112" s="368"/>
      <c r="E112" s="1107" t="str">
        <f>Translations!$B$469</f>
        <v>All information provided (specific embedded emissions, carbon price due, etc.) shall relate to the same reference period as entered in sheet A, section 1.</v>
      </c>
      <c r="F112" s="1108"/>
      <c r="G112" s="1108"/>
      <c r="H112" s="1108"/>
      <c r="I112" s="1108"/>
      <c r="J112" s="1108"/>
      <c r="K112" s="1108"/>
      <c r="L112" s="1108"/>
      <c r="M112" s="1108"/>
      <c r="N112" s="1108"/>
    </row>
    <row r="113" spans="3:19" ht="12.75" customHeight="1" x14ac:dyDescent="0.2">
      <c r="C113" s="24"/>
      <c r="D113" s="368"/>
      <c r="E113" s="1219" t="str">
        <f>Translations!$B$470</f>
        <v>An example for how to complete a row is provided at the top of the table in sheet "Summary_Products".</v>
      </c>
      <c r="F113" s="1233"/>
      <c r="G113" s="1233"/>
      <c r="H113" s="1233"/>
      <c r="I113" s="1233"/>
      <c r="J113" s="1233"/>
      <c r="K113" s="1233"/>
      <c r="L113" s="1233"/>
      <c r="M113" s="1233"/>
      <c r="N113" s="1233"/>
    </row>
    <row r="114" spans="3:19" ht="5.0999999999999996" customHeight="1" x14ac:dyDescent="0.2">
      <c r="D114" s="508"/>
      <c r="E114" s="509"/>
      <c r="F114" s="509"/>
      <c r="G114" s="509"/>
      <c r="H114" s="509"/>
      <c r="I114" s="509"/>
      <c r="J114" s="509"/>
      <c r="K114" s="509"/>
      <c r="L114" s="509"/>
      <c r="M114" s="509"/>
      <c r="N114" s="510"/>
      <c r="S114" s="112"/>
    </row>
    <row r="115" spans="3:19" ht="5.0999999999999996" customHeight="1" x14ac:dyDescent="0.2">
      <c r="D115" s="103"/>
      <c r="E115" s="113"/>
      <c r="F115" s="113"/>
      <c r="G115" s="113"/>
      <c r="H115" s="113"/>
      <c r="I115" s="113"/>
      <c r="J115" s="113"/>
      <c r="K115" s="113"/>
      <c r="L115" s="113"/>
      <c r="M115" s="113"/>
      <c r="S115" s="112"/>
    </row>
    <row r="116" spans="3:19" ht="12.75" customHeight="1" x14ac:dyDescent="0.2">
      <c r="D116" s="103"/>
      <c r="E116" s="1226" t="str">
        <f ca="1">HYPERLINK("#"&amp;S116,CONST_LinkFromGuidance)</f>
        <v>Please click on this link if you want to go back to the relevant section for data entry.</v>
      </c>
      <c r="F116" s="1226"/>
      <c r="G116" s="1226"/>
      <c r="H116" s="1226"/>
      <c r="I116" s="1226"/>
      <c r="J116" s="1226"/>
      <c r="K116" s="1226"/>
      <c r="L116" s="1226"/>
      <c r="M116" s="1226"/>
      <c r="N116" s="1226"/>
      <c r="R116" s="89" t="s">
        <v>1348</v>
      </c>
      <c r="S116" s="116" t="str">
        <f ca="1">ADDRESS(9,4,,,Summary_Products!$BF$2)</f>
        <v>Summary_Products!$D$9</v>
      </c>
    </row>
    <row r="117" spans="3:19" ht="5.0999999999999996" customHeight="1" x14ac:dyDescent="0.2">
      <c r="D117" s="103"/>
      <c r="E117" s="113"/>
      <c r="F117" s="113"/>
      <c r="G117" s="113"/>
      <c r="H117" s="113"/>
      <c r="I117" s="113"/>
      <c r="J117" s="113"/>
      <c r="K117" s="113"/>
      <c r="L117" s="113"/>
      <c r="M117" s="113"/>
      <c r="S117" s="112"/>
    </row>
    <row r="118" spans="3:19" ht="25.5" customHeight="1" x14ac:dyDescent="0.2">
      <c r="D118" s="103"/>
      <c r="E118" s="1228" t="str">
        <f>Translations!$B$471</f>
        <v>General parameters</v>
      </c>
      <c r="F118" s="1228"/>
      <c r="G118" s="1228"/>
      <c r="H118" s="1228"/>
      <c r="I118" s="1228"/>
      <c r="J118" s="1228"/>
      <c r="K118" s="1228"/>
      <c r="L118" s="1228"/>
      <c r="M118" s="1228"/>
      <c r="N118" s="1228"/>
      <c r="S118" s="112"/>
    </row>
    <row r="119" spans="3:19" ht="38.25" customHeight="1" x14ac:dyDescent="0.2">
      <c r="D119" s="437"/>
      <c r="E119" s="425" t="str">
        <f>Translations!$B$472</f>
        <v>Production process from which the products arise</v>
      </c>
      <c r="F119" s="426"/>
      <c r="G119" s="1186"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6"/>
      <c r="I119" s="1186"/>
      <c r="J119" s="1186"/>
      <c r="K119" s="1186"/>
      <c r="L119" s="1186"/>
      <c r="M119" s="1186"/>
      <c r="N119" s="1186"/>
      <c r="S119" s="112"/>
    </row>
    <row r="120" spans="3:19" ht="12.75" customHeight="1" x14ac:dyDescent="0.2">
      <c r="D120" s="437"/>
      <c r="E120" s="246" t="str">
        <f>Translations!$B$474</f>
        <v>CN Codes</v>
      </c>
      <c r="F120" s="424"/>
      <c r="G120" s="1186" t="str">
        <f>Translations!$B$475</f>
        <v>Please select here the relevant CN code, as disaggregated as possible (i.e. 8-digit code, if possible)</v>
      </c>
      <c r="H120" s="1186"/>
      <c r="I120" s="1186"/>
      <c r="J120" s="1186"/>
      <c r="K120" s="1186"/>
      <c r="L120" s="1186"/>
      <c r="M120" s="1186"/>
      <c r="N120" s="1186"/>
      <c r="S120" s="112"/>
    </row>
    <row r="121" spans="3:19" ht="38.25" customHeight="1" x14ac:dyDescent="0.2">
      <c r="D121" s="437"/>
      <c r="E121" s="246" t="str">
        <f>Translations!$B$476</f>
        <v>Product name 
(used for communication with reporting declarant)</v>
      </c>
      <c r="F121" s="424"/>
      <c r="G121" s="1186"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6"/>
      <c r="I121" s="1186"/>
      <c r="J121" s="1186"/>
      <c r="K121" s="1186"/>
      <c r="L121" s="1186"/>
      <c r="M121" s="1186"/>
      <c r="N121" s="1186"/>
      <c r="S121" s="112"/>
    </row>
    <row r="122" spans="3:19" ht="38.25" customHeight="1" x14ac:dyDescent="0.2">
      <c r="D122" s="437"/>
      <c r="E122" s="423" t="str">
        <f>Translations!$B$478</f>
        <v>Embedded emissions</v>
      </c>
      <c r="F122" s="427"/>
      <c r="G122" s="1186"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6"/>
      <c r="I122" s="1186"/>
      <c r="J122" s="1186"/>
      <c r="K122" s="1186"/>
      <c r="L122" s="1186"/>
      <c r="M122" s="1186"/>
      <c r="N122" s="1186"/>
      <c r="S122" s="112"/>
    </row>
    <row r="123" spans="3:19" ht="25.5" customHeight="1" x14ac:dyDescent="0.2">
      <c r="D123" s="437"/>
      <c r="E123" s="423" t="str">
        <f>Translations!$B$1868</f>
        <v>Share of emissions by default value</v>
      </c>
      <c r="F123" s="427"/>
      <c r="G123" s="1186" t="str">
        <f>Translations!$B$1869</f>
        <v>Share of direct embedded emissions embedded in purchased precursors and determined by default values.</v>
      </c>
      <c r="H123" s="1186"/>
      <c r="I123" s="1186"/>
      <c r="J123" s="1186"/>
      <c r="K123" s="1186"/>
      <c r="L123" s="1186"/>
      <c r="M123" s="1186"/>
      <c r="N123" s="1186"/>
      <c r="S123" s="112"/>
    </row>
    <row r="124" spans="3:19" ht="25.5" customHeight="1" x14ac:dyDescent="0.2">
      <c r="D124" s="437"/>
      <c r="E124" s="423" t="str">
        <f>Translations!$B$480</f>
        <v>Embedded electricity</v>
      </c>
      <c r="F124" s="427"/>
      <c r="G124" s="1224" t="str">
        <f>Translations!$B$481</f>
        <v>Specific embedded electricity consumption of the production process, i.e. including any embedded electricity consumption in other production processes within the installation (i.e. excl. from purchased precursors).</v>
      </c>
      <c r="H124" s="1224"/>
      <c r="I124" s="1224"/>
      <c r="J124" s="1224"/>
      <c r="K124" s="1224"/>
      <c r="L124" s="1224"/>
      <c r="M124" s="1224"/>
      <c r="N124" s="1224"/>
      <c r="S124" s="112"/>
    </row>
    <row r="125" spans="3:19" ht="25.5" customHeight="1" x14ac:dyDescent="0.2">
      <c r="D125" s="437"/>
      <c r="E125" s="1228" t="str">
        <f>Translations!$B$482</f>
        <v>Special parameters for certain aggregated good types</v>
      </c>
      <c r="F125" s="1228"/>
      <c r="G125" s="1228"/>
      <c r="H125" s="1228"/>
      <c r="I125" s="1228"/>
      <c r="J125" s="1228"/>
      <c r="K125" s="1228"/>
      <c r="L125" s="1228"/>
      <c r="M125" s="1228"/>
      <c r="N125" s="1228"/>
      <c r="S125" s="112"/>
    </row>
    <row r="126" spans="3:19" ht="25.5" customHeight="1" x14ac:dyDescent="0.2">
      <c r="D126" s="437"/>
      <c r="E126" s="423" t="str">
        <f>Translations!$B$483</f>
        <v>The main reducing agent of the precursor, if known</v>
      </c>
      <c r="F126" s="424"/>
      <c r="G126" s="1186" t="str">
        <f>Translations!$B$484</f>
        <v>This parameter is relevant for the production of pig iron, direct reduced iron, crude steel and iron and steel products. Please select from the drop-down list the main reducing agent (coke or coal, natural gas, etc.) used to reduce the iron ores.</v>
      </c>
      <c r="H126" s="1186"/>
      <c r="I126" s="1186"/>
      <c r="J126" s="1186"/>
      <c r="K126" s="1186"/>
      <c r="L126" s="1186"/>
      <c r="M126" s="1186"/>
      <c r="N126" s="1186"/>
      <c r="S126" s="112"/>
    </row>
    <row r="127" spans="3:19" ht="25.5" customHeight="1" x14ac:dyDescent="0.2">
      <c r="D127" s="437"/>
      <c r="E127" s="423" t="str">
        <f>Translations!$B$485</f>
        <v>Steel mill identification number</v>
      </c>
      <c r="F127" s="424"/>
      <c r="G127" s="1186" t="str">
        <f>Translations!$B$486</f>
        <v>For steel goods, the identification number of the specific steel mill (also known as the "heat number") where a particular batch of raw materials was produced, where known.</v>
      </c>
      <c r="H127" s="1186"/>
      <c r="I127" s="1186"/>
      <c r="J127" s="1186"/>
      <c r="K127" s="1186"/>
      <c r="L127" s="1186"/>
      <c r="M127" s="1186"/>
      <c r="N127" s="1186"/>
      <c r="S127" s="112"/>
    </row>
    <row r="128" spans="3:19" ht="25.5" customHeight="1" x14ac:dyDescent="0.2">
      <c r="D128" s="437"/>
      <c r="E128" s="423" t="str">
        <f>Translations!$B$487</f>
        <v>% Mn</v>
      </c>
      <c r="F128" s="424"/>
      <c r="G128" s="1186" t="str">
        <f>Translations!$B$488</f>
        <v>This parameter is relevant for the production of pig iron, direct reduced iron, crude steel, iron and steel products and ferro-manganese. Please provide here the mass % of Mn in the product.</v>
      </c>
      <c r="H128" s="1186"/>
      <c r="I128" s="1186"/>
      <c r="J128" s="1186"/>
      <c r="K128" s="1186"/>
      <c r="L128" s="1186"/>
      <c r="M128" s="1186"/>
      <c r="N128" s="1186"/>
      <c r="S128" s="112"/>
    </row>
    <row r="129" spans="4:19" ht="25.5" customHeight="1" x14ac:dyDescent="0.2">
      <c r="D129" s="437"/>
      <c r="E129" s="423" t="str">
        <f>Translations!$B$489</f>
        <v>% Cr</v>
      </c>
      <c r="F129" s="424"/>
      <c r="G129" s="1186" t="str">
        <f>Translations!$B$490</f>
        <v>This parameter is relevant for the production of pig iron, direct reduced iron, crude steel, iron and steel products and ferro-chromium. Please provide here the mass % of Cr in the product.</v>
      </c>
      <c r="H129" s="1186"/>
      <c r="I129" s="1186"/>
      <c r="J129" s="1186"/>
      <c r="K129" s="1186"/>
      <c r="L129" s="1186"/>
      <c r="M129" s="1186"/>
      <c r="N129" s="1186"/>
      <c r="S129" s="112"/>
    </row>
    <row r="130" spans="4:19" ht="25.5" customHeight="1" x14ac:dyDescent="0.2">
      <c r="D130" s="437"/>
      <c r="E130" s="423" t="str">
        <f>Translations!$B$491</f>
        <v>% Ni</v>
      </c>
      <c r="F130" s="424"/>
      <c r="G130" s="1186" t="str">
        <f>Translations!$B$492</f>
        <v>This parameter is relevant for the production of pig iron, direct reduced iron, crude steel, iron and steel products and ferro-nickel. Please provide here the mass % of Ni in the product.</v>
      </c>
      <c r="H130" s="1186"/>
      <c r="I130" s="1186"/>
      <c r="J130" s="1186"/>
      <c r="K130" s="1186"/>
      <c r="L130" s="1186"/>
      <c r="M130" s="1186"/>
      <c r="N130" s="1186"/>
      <c r="S130" s="112"/>
    </row>
    <row r="131" spans="4:19" ht="25.5" customHeight="1" x14ac:dyDescent="0.2">
      <c r="D131" s="437"/>
      <c r="E131" s="423" t="str">
        <f>Translations!$B$493</f>
        <v>% other alloys</v>
      </c>
      <c r="F131" s="424"/>
      <c r="G131" s="1186" t="str">
        <f>Translations!$B$494</f>
        <v>This parameter is relevant for the production of pig iron, direct reduced iron, crude steel and iron and steel products. Please provide here the mass % of other alloy elements in the product.</v>
      </c>
      <c r="H131" s="1186"/>
      <c r="I131" s="1186"/>
      <c r="J131" s="1186"/>
      <c r="K131" s="1186"/>
      <c r="L131" s="1186"/>
      <c r="M131" s="1186"/>
      <c r="N131" s="1186"/>
      <c r="S131" s="112"/>
    </row>
    <row r="132" spans="4:19" ht="25.5" customHeight="1" x14ac:dyDescent="0.2">
      <c r="D132" s="437"/>
      <c r="E132" s="423" t="str">
        <f>Translations!$B$495</f>
        <v>% carbon</v>
      </c>
      <c r="F132" s="424"/>
      <c r="G132" s="1186" t="str">
        <f>Translations!$B$496</f>
        <v>This parameter is relevant for the production of ferro-manganese, ferro-chromium and ferro-nickel. Please provide here the mass % of carbon in the product.</v>
      </c>
      <c r="H132" s="1186"/>
      <c r="I132" s="1186"/>
      <c r="J132" s="1186"/>
      <c r="K132" s="1186"/>
      <c r="L132" s="1186"/>
      <c r="M132" s="1186"/>
      <c r="N132" s="1186"/>
      <c r="S132" s="112"/>
    </row>
    <row r="133" spans="4:19" ht="25.5" customHeight="1" x14ac:dyDescent="0.2">
      <c r="D133" s="437"/>
      <c r="E133" s="423" t="str">
        <f>Translations!$B$497</f>
        <v>t scrap per t steel</v>
      </c>
      <c r="F133" s="424"/>
      <c r="G133" s="1186" t="str">
        <f>Translations!$B$498</f>
        <v>This parameter is relevant for the production of crude steel and iron and steel products. Please provide here the mass % of tonne scrap used per tonne of steel produced.</v>
      </c>
      <c r="H133" s="1186"/>
      <c r="I133" s="1186"/>
      <c r="J133" s="1186"/>
      <c r="K133" s="1186"/>
      <c r="L133" s="1186"/>
      <c r="M133" s="1186"/>
      <c r="N133" s="1186"/>
      <c r="S133" s="112"/>
    </row>
    <row r="134" spans="4:19" ht="25.5" customHeight="1" x14ac:dyDescent="0.2">
      <c r="D134" s="437"/>
      <c r="E134" s="423" t="str">
        <f>Translations!$B$499</f>
        <v>% other materials</v>
      </c>
      <c r="F134" s="424"/>
      <c r="G134" s="1186" t="str">
        <f>Translations!$B$500</f>
        <v>This parameter is relevant for the production of the aggregated good iron and steel products. Please provide here the mass % of materials contained which are not iron or steel, if their mass is more than 1-5% of the total good’s mass.</v>
      </c>
      <c r="H134" s="1186"/>
      <c r="I134" s="1186"/>
      <c r="J134" s="1186"/>
      <c r="K134" s="1186"/>
      <c r="L134" s="1186"/>
      <c r="M134" s="1186"/>
      <c r="N134" s="1186"/>
      <c r="S134" s="112"/>
    </row>
    <row r="135" spans="4:19" ht="25.5" customHeight="1" x14ac:dyDescent="0.2">
      <c r="D135" s="437"/>
      <c r="E135" s="423" t="str">
        <f>Translations!$B$501</f>
        <v>t scrap per t aluminium</v>
      </c>
      <c r="F135" s="424"/>
      <c r="G135" s="1186" t="str">
        <f>Translations!$B$502</f>
        <v>This parameter is relevant for the production of unwrought aluminium and aluminium products. Please provide here the mass % of tonne scrap used per tonne of aluminium produced.</v>
      </c>
      <c r="H135" s="1186"/>
      <c r="I135" s="1186"/>
      <c r="J135" s="1186"/>
      <c r="K135" s="1186"/>
      <c r="L135" s="1186"/>
      <c r="M135" s="1186"/>
      <c r="N135" s="1186"/>
      <c r="S135" s="112"/>
    </row>
    <row r="136" spans="4:19" ht="25.5" customHeight="1" x14ac:dyDescent="0.2">
      <c r="D136" s="437"/>
      <c r="E136" s="423" t="str">
        <f>Translations!$B$503</f>
        <v>% pre-consumer scrap</v>
      </c>
      <c r="F136" s="424"/>
      <c r="G136" s="1186" t="str">
        <f>Translations!$B$504</f>
        <v>This parameter is relevant for the production of crude steel, unwrought aluminium and aluminium products. Please provide here the mass % of tonne pre-consumer scrap used per tonne of steel/aluminium produced.</v>
      </c>
      <c r="H136" s="1186"/>
      <c r="I136" s="1186"/>
      <c r="J136" s="1186"/>
      <c r="K136" s="1186"/>
      <c r="L136" s="1186"/>
      <c r="M136" s="1186"/>
      <c r="N136" s="1186"/>
      <c r="S136" s="112"/>
    </row>
    <row r="137" spans="4:19" ht="25.5" customHeight="1" x14ac:dyDescent="0.2">
      <c r="D137" s="437"/>
      <c r="E137" s="423" t="str">
        <f>Translations!$B$505</f>
        <v>% non-aluminium elements</v>
      </c>
      <c r="F137" s="424"/>
      <c r="G137" s="1186" t="str">
        <f>Translations!$B$506</f>
        <v>This parameter is relevant for the production of unwrought aluminium and aluminium products. Please provide here the mass % of elements contained which are not aluminium, if their mass is more than 1% of the total good’s mass.</v>
      </c>
      <c r="H137" s="1186"/>
      <c r="I137" s="1186"/>
      <c r="J137" s="1186"/>
      <c r="K137" s="1186"/>
      <c r="L137" s="1186"/>
      <c r="M137" s="1186"/>
      <c r="N137" s="1186"/>
      <c r="S137" s="112"/>
    </row>
    <row r="138" spans="4:19" ht="12.75" customHeight="1" x14ac:dyDescent="0.2">
      <c r="D138" s="437"/>
      <c r="E138" s="423" t="str">
        <f>Translations!$B$507</f>
        <v>Clinker factor</v>
      </c>
      <c r="F138" s="424"/>
      <c r="G138" s="1186" t="str">
        <f>Translations!$B$508</f>
        <v>This parameter is relevant for the production of cement. Please provide here the clinker factor, expressed as mass % of clinker content in the cement.</v>
      </c>
      <c r="H138" s="1186"/>
      <c r="I138" s="1186"/>
      <c r="J138" s="1186"/>
      <c r="K138" s="1186"/>
      <c r="L138" s="1186"/>
      <c r="M138" s="1186"/>
      <c r="N138" s="1186"/>
      <c r="S138" s="112"/>
    </row>
    <row r="139" spans="4:19" ht="25.5" customHeight="1" x14ac:dyDescent="0.2">
      <c r="D139" s="437"/>
      <c r="E139" s="423" t="str">
        <f>Translations!$B$509</f>
        <v>Calcined or not</v>
      </c>
      <c r="F139" s="424"/>
      <c r="G139" s="1186" t="str">
        <f>Translations!$B$510</f>
        <v>This parameter is relevant for the production of calcined clay. Please select here from the drop-down list whether the clay is calcined or not.</v>
      </c>
      <c r="H139" s="1186"/>
      <c r="I139" s="1186"/>
      <c r="J139" s="1186"/>
      <c r="K139" s="1186"/>
      <c r="L139" s="1186"/>
      <c r="M139" s="1186"/>
      <c r="N139" s="1186"/>
      <c r="S139" s="112"/>
    </row>
    <row r="140" spans="4:19" ht="25.5" customHeight="1" x14ac:dyDescent="0.2">
      <c r="D140" s="437"/>
      <c r="E140" s="423" t="str">
        <f>Translations!$B$511</f>
        <v>Concentration, if hydrous solution</v>
      </c>
      <c r="F140" s="424"/>
      <c r="G140" s="1186" t="str">
        <f>Translations!$B$512</f>
        <v>This parameter is relevant for the production of ammonia. Please provide here the concentration of ammonia, if in hydrous solution, expressed as %.</v>
      </c>
      <c r="H140" s="1186"/>
      <c r="I140" s="1186"/>
      <c r="J140" s="1186"/>
      <c r="K140" s="1186"/>
      <c r="L140" s="1186"/>
      <c r="M140" s="1186"/>
      <c r="N140" s="1186"/>
      <c r="S140" s="112"/>
    </row>
    <row r="141" spans="4:19" ht="25.5" customHeight="1" x14ac:dyDescent="0.2">
      <c r="D141" s="437"/>
      <c r="E141" s="423" t="str">
        <f>Translations!$B$513</f>
        <v>% nitric acid</v>
      </c>
      <c r="F141" s="424"/>
      <c r="G141" s="1186" t="str">
        <f>Translations!$B$514</f>
        <v>This parameter is relevant for the production of nitric acid. Please provide here the mass % of nitric acid in the product (i.e. the purity).</v>
      </c>
      <c r="H141" s="1186"/>
      <c r="I141" s="1186"/>
      <c r="J141" s="1186"/>
      <c r="K141" s="1186"/>
      <c r="L141" s="1186"/>
      <c r="M141" s="1186"/>
      <c r="N141" s="1186"/>
      <c r="S141" s="112"/>
    </row>
    <row r="142" spans="4:19" x14ac:dyDescent="0.2">
      <c r="D142" s="437"/>
      <c r="E142" s="423" t="str">
        <f>Translations!$B$515</f>
        <v>% urea</v>
      </c>
      <c r="F142" s="424"/>
      <c r="G142" s="1186" t="str">
        <f>Translations!$B$516</f>
        <v>This parameter is relevant for the production of urea. Please provide here the mass % of urea in the product (i.e. the purity).</v>
      </c>
      <c r="H142" s="1186"/>
      <c r="I142" s="1186"/>
      <c r="J142" s="1186"/>
      <c r="K142" s="1186"/>
      <c r="L142" s="1186"/>
      <c r="M142" s="1186"/>
      <c r="N142" s="1186"/>
      <c r="S142" s="112"/>
    </row>
    <row r="143" spans="4:19" x14ac:dyDescent="0.2">
      <c r="D143" s="437"/>
      <c r="E143" s="423" t="str">
        <f>Translations!$B$517</f>
        <v>% N contained</v>
      </c>
      <c r="F143" s="424"/>
      <c r="G143" s="1186" t="str">
        <f>Translations!$B$518</f>
        <v>This parameter is relevant for the production of urea. Please provide here the mass % nitrogen in the product.</v>
      </c>
      <c r="H143" s="1186"/>
      <c r="I143" s="1186"/>
      <c r="J143" s="1186"/>
      <c r="K143" s="1186"/>
      <c r="L143" s="1186"/>
      <c r="M143" s="1186"/>
      <c r="N143" s="1186"/>
      <c r="S143" s="112"/>
    </row>
    <row r="144" spans="4:19" ht="25.5" customHeight="1" x14ac:dyDescent="0.2">
      <c r="D144" s="437"/>
      <c r="E144" s="423" t="str">
        <f>Translations!$B$519</f>
        <v>% N as ammonium (NH4+)</v>
      </c>
      <c r="F144" s="424"/>
      <c r="G144" s="1186" t="str">
        <f>Translations!$B$520</f>
        <v>This parameter is relevant for the production of mixed fertilisers. Please provide here the mass % content of nitrogen as ammonium ion.</v>
      </c>
      <c r="H144" s="1186"/>
      <c r="I144" s="1186"/>
      <c r="J144" s="1186"/>
      <c r="K144" s="1186"/>
      <c r="L144" s="1186"/>
      <c r="M144" s="1186"/>
      <c r="N144" s="1186"/>
      <c r="S144" s="112"/>
    </row>
    <row r="145" spans="4:19" ht="25.5" customHeight="1" x14ac:dyDescent="0.2">
      <c r="D145" s="437"/>
      <c r="E145" s="423" t="str">
        <f>Translations!$B$521</f>
        <v>% N as nitrate (NO3–)</v>
      </c>
      <c r="F145" s="424"/>
      <c r="G145" s="1186" t="str">
        <f>Translations!$B$522</f>
        <v>This parameter is relevant for the production of mixed fertilisers. Please provide here the mass % content of nitrogen as nitrate ion.</v>
      </c>
      <c r="H145" s="1186"/>
      <c r="I145" s="1186"/>
      <c r="J145" s="1186"/>
      <c r="K145" s="1186"/>
      <c r="L145" s="1186"/>
      <c r="M145" s="1186"/>
      <c r="N145" s="1186"/>
      <c r="S145" s="112"/>
    </row>
    <row r="146" spans="4:19" ht="12.75" customHeight="1" x14ac:dyDescent="0.2">
      <c r="D146" s="437"/>
      <c r="E146" s="423" t="str">
        <f>Translations!$B$523</f>
        <v>% N as Urea</v>
      </c>
      <c r="F146" s="424"/>
      <c r="G146" s="1186" t="str">
        <f>Translations!$B$524</f>
        <v>This parameter is relevant for the production of mixed fertilisers. Please provide here the mass % content of urea.</v>
      </c>
      <c r="H146" s="1186"/>
      <c r="I146" s="1186"/>
      <c r="J146" s="1186"/>
      <c r="K146" s="1186"/>
      <c r="L146" s="1186"/>
      <c r="M146" s="1186"/>
      <c r="N146" s="1186"/>
      <c r="S146" s="112"/>
    </row>
    <row r="147" spans="4:19" ht="25.5" customHeight="1" x14ac:dyDescent="0.2">
      <c r="D147" s="437"/>
      <c r="E147" s="423" t="str">
        <f>Translations!$B$525</f>
        <v>% N in other (organic) forms</v>
      </c>
      <c r="F147" s="427"/>
      <c r="G147" s="1186" t="str">
        <f>Translations!$B$526</f>
        <v>This parameter is relevant for the production of mixed fertilisers. Please provide here the mass % content of nitrogen in other forms.</v>
      </c>
      <c r="H147" s="1186"/>
      <c r="I147" s="1186"/>
      <c r="J147" s="1186"/>
      <c r="K147" s="1186"/>
      <c r="L147" s="1186"/>
      <c r="M147" s="1186"/>
      <c r="N147" s="1186"/>
      <c r="S147" s="112"/>
    </row>
    <row r="148" spans="4:19" ht="25.5" customHeight="1" x14ac:dyDescent="0.2">
      <c r="D148" s="437"/>
      <c r="E148" s="1228" t="str">
        <f>Translations!$B$527</f>
        <v>Information on carbon price due</v>
      </c>
      <c r="F148" s="1228"/>
      <c r="G148" s="1228"/>
      <c r="H148" s="1228"/>
      <c r="I148" s="1228"/>
      <c r="J148" s="1228"/>
      <c r="K148" s="1228"/>
      <c r="L148" s="1228"/>
      <c r="M148" s="1228"/>
      <c r="N148" s="1228"/>
      <c r="S148" s="112"/>
    </row>
    <row r="149" spans="4:19" ht="38.25" customHeight="1" x14ac:dyDescent="0.2">
      <c r="D149" s="437"/>
      <c r="E149" s="463" t="str">
        <f>Translations!$B$528</f>
        <v>Note</v>
      </c>
      <c r="F149" s="469"/>
      <c r="G149" s="1231"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31"/>
      <c r="I149" s="1231"/>
      <c r="J149" s="1231"/>
      <c r="K149" s="1231"/>
      <c r="L149" s="1231"/>
      <c r="M149" s="1231"/>
      <c r="N149" s="1231"/>
      <c r="S149" s="112"/>
    </row>
    <row r="150" spans="4:19" ht="12.75" customHeight="1" x14ac:dyDescent="0.2">
      <c r="D150" s="437"/>
      <c r="E150" s="470"/>
      <c r="F150" s="462"/>
      <c r="G150" s="1234" t="str">
        <f ca="1">HYPERLINK("#"&amp;ADDRESS(MATCH($S150,F_Tools!$S:$S,0),3,,,F_Tools!$U$2),CONST_LinkToCPTool)</f>
        <v>Please click on this link to go to the "tool for calculation of the carbon price due".</v>
      </c>
      <c r="H150" s="1225"/>
      <c r="I150" s="1225"/>
      <c r="J150" s="1225"/>
      <c r="K150" s="1225"/>
      <c r="L150" s="1225"/>
      <c r="M150" s="1225"/>
      <c r="N150" s="1225"/>
      <c r="R150" s="104" t="s">
        <v>1320</v>
      </c>
      <c r="S150" s="105">
        <v>2</v>
      </c>
    </row>
    <row r="151" spans="4:19" ht="25.5" customHeight="1" x14ac:dyDescent="0.2">
      <c r="D151" s="437"/>
      <c r="E151" s="423" t="str">
        <f>Translations!$B$530</f>
        <v>Form of carbon price</v>
      </c>
      <c r="F151" s="424"/>
      <c r="G151" s="1186" t="str">
        <f>Translations!$B$531</f>
        <v>Please select from the drop-down list whether the form of carbon price is an emissions trading system (ETS), a carbon tax, a combination of instruments, or other form of carbon pricing.</v>
      </c>
      <c r="H151" s="1186"/>
      <c r="I151" s="1186"/>
      <c r="J151" s="1186"/>
      <c r="K151" s="1186"/>
      <c r="L151" s="1186"/>
      <c r="M151" s="1186"/>
      <c r="N151" s="1186"/>
      <c r="S151" s="112"/>
    </row>
    <row r="152" spans="4:19" ht="36" x14ac:dyDescent="0.2">
      <c r="D152" s="437"/>
      <c r="E152" s="423" t="str">
        <f>Translations!$B$532</f>
        <v>Share of total embedded emissions covered by the carbon price</v>
      </c>
      <c r="F152" s="424"/>
      <c r="G152" s="1186"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6"/>
      <c r="I152" s="1186"/>
      <c r="J152" s="1186"/>
      <c r="K152" s="1186"/>
      <c r="L152" s="1186"/>
      <c r="M152" s="1186"/>
      <c r="N152" s="1186"/>
      <c r="S152" s="112"/>
    </row>
    <row r="153" spans="4:19" x14ac:dyDescent="0.2">
      <c r="D153" s="437"/>
      <c r="E153" s="423" t="str">
        <f>Translations!$B$534</f>
        <v>Currency</v>
      </c>
      <c r="F153" s="424"/>
      <c r="G153" s="1186" t="str">
        <f>Translations!$B$535</f>
        <v>Please enter the currency in which the carbon price is being due.</v>
      </c>
      <c r="H153" s="1186"/>
      <c r="I153" s="1186"/>
      <c r="J153" s="1186"/>
      <c r="K153" s="1186"/>
      <c r="L153" s="1186"/>
      <c r="M153" s="1186"/>
      <c r="N153" s="1186"/>
      <c r="S153" s="112"/>
    </row>
    <row r="154" spans="4:19" ht="25.5" customHeight="1" x14ac:dyDescent="0.2">
      <c r="D154" s="437"/>
      <c r="E154" s="423" t="str">
        <f>Translations!$B$350</f>
        <v>Carbon price (CP) due (local currency)</v>
      </c>
      <c r="F154" s="424"/>
      <c r="G154" s="1186" t="str">
        <f>Translations!$B$536</f>
        <v>Please enter here the carbon price due per tonne or MWh (as applicable) of product in the relevant currency. This value shall not include any rebate such as free allocation or financial compensation.</v>
      </c>
      <c r="H154" s="1186"/>
      <c r="I154" s="1186"/>
      <c r="J154" s="1186"/>
      <c r="K154" s="1186"/>
      <c r="L154" s="1186"/>
      <c r="M154" s="1186"/>
      <c r="N154" s="1186"/>
      <c r="S154" s="112"/>
    </row>
    <row r="155" spans="4:19" ht="25.5" customHeight="1" x14ac:dyDescent="0.2">
      <c r="D155" s="437"/>
      <c r="E155" s="423" t="str">
        <f>Translations!$B$537</f>
        <v>Form of rebate</v>
      </c>
      <c r="F155" s="424"/>
      <c r="G155" s="1186" t="str">
        <f>Translations!$B$538</f>
        <v>Please select from the drop-down list whether the form of rebate or other form of compensation is via free allocation, financial compensation, tax deduction, a combination or any other form of rebate or compensation.</v>
      </c>
      <c r="H155" s="1186"/>
      <c r="I155" s="1186"/>
      <c r="J155" s="1186"/>
      <c r="K155" s="1186"/>
      <c r="L155" s="1186"/>
      <c r="M155" s="1186"/>
      <c r="N155" s="1186"/>
      <c r="S155" s="112"/>
    </row>
    <row r="156" spans="4:19" ht="36" customHeight="1" x14ac:dyDescent="0.2">
      <c r="D156" s="437"/>
      <c r="E156" s="423" t="str">
        <f>Translations!$B$539</f>
        <v>Share of embedded emissions covered by the rebate</v>
      </c>
      <c r="F156" s="424"/>
      <c r="G156" s="1186"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6"/>
      <c r="I156" s="1186"/>
      <c r="J156" s="1186"/>
      <c r="K156" s="1186"/>
      <c r="L156" s="1186"/>
      <c r="M156" s="1186"/>
      <c r="N156" s="1186"/>
      <c r="S156" s="112"/>
    </row>
    <row r="157" spans="4:19" ht="25.5" customHeight="1" x14ac:dyDescent="0.2">
      <c r="D157" s="437"/>
      <c r="E157" s="423" t="str">
        <f>Translations!$B$348</f>
        <v>Amount of rebate (local currency)</v>
      </c>
      <c r="F157" s="424"/>
      <c r="G157" s="1186" t="str">
        <f>Translations!$B$541</f>
        <v xml:space="preserve">Please enter here the rebate per tonne or MWh (as applicable) of product covered by the rebate in the relevant currency. </v>
      </c>
      <c r="H157" s="1186"/>
      <c r="I157" s="1186"/>
      <c r="J157" s="1186"/>
      <c r="K157" s="1186"/>
      <c r="L157" s="1186"/>
      <c r="M157" s="1186"/>
      <c r="N157" s="1186"/>
      <c r="S157" s="112"/>
    </row>
    <row r="158" spans="4:19" ht="12.75" customHeight="1" x14ac:dyDescent="0.2">
      <c r="D158" s="103"/>
      <c r="E158" s="247" t="str">
        <f>Translations!$B$542</f>
        <v>Result</v>
      </c>
      <c r="F158" s="247"/>
      <c r="G158" s="1227" t="str">
        <f>Translations!$B$543</f>
        <v>The result is the effective carbon price due per tonne of CO2 equivalent, i.e. the carbon price due less any rebates.</v>
      </c>
      <c r="H158" s="1227"/>
      <c r="I158" s="1227"/>
      <c r="J158" s="1227"/>
      <c r="K158" s="1227"/>
      <c r="L158" s="1227"/>
      <c r="M158" s="1227"/>
      <c r="N158" s="1227"/>
      <c r="S158" s="112"/>
    </row>
    <row r="159" spans="4:19" ht="5.0999999999999996" customHeight="1" x14ac:dyDescent="0.2">
      <c r="D159" s="103"/>
      <c r="E159" s="113"/>
      <c r="F159" s="113"/>
      <c r="G159" s="113"/>
      <c r="H159" s="113"/>
      <c r="I159" s="113"/>
      <c r="J159" s="113"/>
      <c r="K159" s="113"/>
      <c r="L159" s="113"/>
      <c r="M159" s="113"/>
      <c r="S159" s="112"/>
    </row>
    <row r="160" spans="4:19" ht="12.75" customHeight="1" x14ac:dyDescent="0.2">
      <c r="D160" s="103"/>
      <c r="E160" s="1226" t="str">
        <f ca="1">HYPERLINK("#"&amp;S160,CONST_LinkFromGuidance)</f>
        <v>Please click on this link if you want to go back to the relevant section for data entry.</v>
      </c>
      <c r="F160" s="1226"/>
      <c r="G160" s="1226"/>
      <c r="H160" s="1226"/>
      <c r="I160" s="1226"/>
      <c r="J160" s="1226"/>
      <c r="K160" s="1226"/>
      <c r="L160" s="1226"/>
      <c r="M160" s="1226"/>
      <c r="N160" s="1226"/>
      <c r="R160" s="89" t="s">
        <v>1348</v>
      </c>
      <c r="S160" s="116" t="str">
        <f ca="1">ADDRESS(9,4,,,Summary_Products!$BF$2)</f>
        <v>Summary_Products!$D$9</v>
      </c>
    </row>
    <row r="161" spans="1:16" ht="12.75" customHeight="1" x14ac:dyDescent="0.25"/>
    <row r="162" spans="1:16" s="89" customFormat="1" ht="12.75" hidden="1" customHeight="1" x14ac:dyDescent="0.25">
      <c r="A162" s="89" t="s">
        <v>0</v>
      </c>
      <c r="P162" s="90" t="s">
        <v>7</v>
      </c>
    </row>
    <row r="163" spans="1:16" s="89" customFormat="1" ht="12.75" hidden="1" customHeight="1" x14ac:dyDescent="0.25">
      <c r="A163" s="89" t="s">
        <v>0</v>
      </c>
      <c r="P163" s="90"/>
    </row>
    <row r="164" spans="1:16" s="89" customFormat="1" ht="12.75" hidden="1" customHeight="1" x14ac:dyDescent="0.25">
      <c r="A164" s="89" t="s">
        <v>0</v>
      </c>
      <c r="P164" s="90"/>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phoneticPr fontId="68" type="noConversion"/>
  <hyperlinks>
    <hyperlink ref="E14" r:id="rId1"/>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topLeftCell="B1" zoomScaleNormal="100" workbookViewId="0">
      <pane ySplit="4" topLeftCell="A95" activePane="bottomLeft" state="frozen"/>
      <selection pane="bottomLeft" activeCell="N2" sqref="N2:O2"/>
    </sheetView>
  </sheetViews>
  <sheetFormatPr defaultColWidth="11.42578125" defaultRowHeight="12.75" outlineLevelRow="1" x14ac:dyDescent="0.25"/>
  <cols>
    <col min="1" max="1" width="11.42578125" style="89" hidden="1" customWidth="1"/>
    <col min="2" max="2" width="2.7109375" style="91" customWidth="1"/>
    <col min="3" max="4" width="3.7109375" style="91" customWidth="1"/>
    <col min="5" max="6" width="25.7109375" style="91" customWidth="1"/>
    <col min="7" max="19" width="11.42578125" style="91"/>
    <col min="20" max="20" width="1.7109375" style="439" customWidth="1"/>
    <col min="21" max="21" width="11.42578125" style="91"/>
    <col min="22" max="41" width="11.42578125" style="89" hidden="1" customWidth="1"/>
    <col min="42" max="16384" width="11.42578125" style="91"/>
  </cols>
  <sheetData>
    <row r="1" spans="1:41" s="89" customFormat="1" ht="13.5" hidden="1" thickBot="1" x14ac:dyDescent="0.3">
      <c r="A1" s="89" t="s">
        <v>0</v>
      </c>
      <c r="T1" s="438"/>
      <c r="V1" s="89" t="s">
        <v>0</v>
      </c>
      <c r="W1" s="89" t="s">
        <v>0</v>
      </c>
      <c r="X1" s="89" t="s">
        <v>0</v>
      </c>
      <c r="Y1" s="89" t="s">
        <v>0</v>
      </c>
      <c r="Z1" s="89" t="s">
        <v>0</v>
      </c>
      <c r="AA1" s="89" t="s">
        <v>0</v>
      </c>
      <c r="AB1" s="89" t="s">
        <v>0</v>
      </c>
      <c r="AC1" s="89" t="s">
        <v>0</v>
      </c>
      <c r="AD1" s="89" t="s">
        <v>0</v>
      </c>
      <c r="AE1" s="89" t="s">
        <v>0</v>
      </c>
      <c r="AF1" s="89" t="s">
        <v>0</v>
      </c>
      <c r="AG1" s="89" t="s">
        <v>0</v>
      </c>
      <c r="AH1" s="89" t="s">
        <v>0</v>
      </c>
      <c r="AI1" s="89" t="s">
        <v>0</v>
      </c>
      <c r="AJ1" s="89" t="s">
        <v>0</v>
      </c>
      <c r="AK1" s="89" t="s">
        <v>0</v>
      </c>
      <c r="AL1" s="89" t="s">
        <v>0</v>
      </c>
      <c r="AM1" s="89" t="s">
        <v>0</v>
      </c>
      <c r="AN1" s="89" t="s">
        <v>0</v>
      </c>
      <c r="AO1" s="89" t="s">
        <v>0</v>
      </c>
    </row>
    <row r="2" spans="1:41" ht="13.5" thickBot="1" x14ac:dyDescent="0.3">
      <c r="C2" s="1073" t="str">
        <f>Translations!$B$544</f>
        <v>Summary of production processes</v>
      </c>
      <c r="D2" s="1074"/>
      <c r="E2" s="1075"/>
      <c r="F2" s="1082" t="str">
        <f>Translations!$B$11</f>
        <v>Navigation Area:</v>
      </c>
      <c r="G2" s="1083"/>
      <c r="H2" s="1084" t="str">
        <f ca="1">HYPERLINK("#"&amp;ADDRESS(2,3,,,a_Contents!$U$2),a_Contents!$B$2)</f>
        <v>Table of contents</v>
      </c>
      <c r="I2" s="1085"/>
      <c r="J2" s="1084" t="str">
        <f ca="1">HYPERLINK("#"&amp;ADDRESS(2,3,,,G_FurtherGuidance!$U$2),G_FurtherGuidance!$B$2)</f>
        <v>Further Guidance</v>
      </c>
      <c r="K2" s="1085"/>
      <c r="L2" s="1084"/>
      <c r="M2" s="1085"/>
      <c r="N2" s="1084" t="str">
        <f ca="1">HYPERLINK("#"&amp;ADDRESS(2,3,,,Summary_Products!$BF$2),Summary_Products!$BF$2)</f>
        <v>Summary_Products</v>
      </c>
      <c r="O2" s="1085"/>
      <c r="V2" s="89" t="s">
        <v>1</v>
      </c>
      <c r="W2" s="93" t="str">
        <f>ADDRESS(ROW($B$2),COLUMN($B$2)) &amp; ":" &amp; ADDRESS(MATCH("PRINT",$U:$U,0),COLUMN($U$2))</f>
        <v>$B$2:$U$520</v>
      </c>
      <c r="X2" s="89" t="s">
        <v>2</v>
      </c>
      <c r="Y2" s="102" t="str">
        <f ca="1">IF(ISERROR(CELL("filename",Z2)),"MSParameters",MID(CELL("filename",Z2),FIND("]",CELL("filename",Z2))+1,1024))</f>
        <v>Summary_Processes</v>
      </c>
    </row>
    <row r="3" spans="1:41" ht="12.75" customHeight="1" x14ac:dyDescent="0.25">
      <c r="C3" s="1076"/>
      <c r="D3" s="1077"/>
      <c r="E3" s="1078"/>
      <c r="F3" s="1068"/>
      <c r="G3" s="1068"/>
      <c r="H3" s="1068" t="str">
        <f>IFERROR(HYPERLINK("#"&amp;ADDRESS(ROW($A$1)+MATCH(V3,$A:$A,0)-1,3),INDEX($V:$V,MATCH(V3,$A:$A,0))),"")</f>
        <v>Installation &amp; processes</v>
      </c>
      <c r="I3" s="1068"/>
      <c r="J3" s="1068" t="str">
        <f>IFERROR(HYPERLINK("#"&amp;ADDRESS(ROW($A$1)+MATCH(X3,$A:$A,0)-1,3),INDEX($V:$V,MATCH(X3,$A:$A,0))),"")</f>
        <v>GHG &amp; SEE</v>
      </c>
      <c r="K3" s="1068"/>
      <c r="L3" s="1068" t="str">
        <f>IFERROR(HYPERLINK("#"&amp;ADDRESS(ROW($A$1)+MATCH(Z3,$A:$A,0)-1,3),INDEX($V:$V,MATCH(Z3,$A:$A,0))),"")</f>
        <v>Detailed overview</v>
      </c>
      <c r="M3" s="1068"/>
      <c r="N3" s="1068" t="str">
        <f>IFERROR(HYPERLINK("#"&amp;ADDRESS(ROW($A$1)+MATCH(AB3,$A:$A,0)-1,3),INDEX($V:$V,MATCH(AB3,$A:$A,0))),"")</f>
        <v/>
      </c>
      <c r="O3" s="1068"/>
      <c r="Q3" s="374"/>
      <c r="R3" s="374"/>
      <c r="S3" s="374"/>
      <c r="V3" s="306">
        <v>1</v>
      </c>
      <c r="W3" s="307"/>
      <c r="X3" s="307">
        <v>2</v>
      </c>
      <c r="Y3" s="307"/>
      <c r="Z3" s="307">
        <v>3</v>
      </c>
      <c r="AA3" s="307"/>
      <c r="AB3" s="308">
        <v>4</v>
      </c>
    </row>
    <row r="4" spans="1:41" ht="13.5" thickBot="1" x14ac:dyDescent="0.3">
      <c r="C4" s="1079"/>
      <c r="D4" s="1080"/>
      <c r="E4" s="1081"/>
      <c r="F4" s="1068"/>
      <c r="G4" s="1068"/>
      <c r="H4" s="1068" t="str">
        <f>IFERROR(HYPERLINK("#"&amp;ADDRESS(ROW($A$1)+MATCH(V4,$A:$A,0)-1,3),INDEX($V:$V,MATCH(V4,$A:$A,0))),"")</f>
        <v/>
      </c>
      <c r="I4" s="1068"/>
      <c r="J4" s="1068" t="str">
        <f>IFERROR(HYPERLINK("#"&amp;ADDRESS(ROW($A$1)+MATCH(X4,$A:$A,0)-1,3),INDEX($V:$V,MATCH(X4,$A:$A,0))),"")</f>
        <v/>
      </c>
      <c r="K4" s="1068"/>
      <c r="L4" s="1068" t="str">
        <f>IFERROR(HYPERLINK("#"&amp;ADDRESS(ROW($A$1)+MATCH(Z4,$A:$A,0)-1,3),INDEX($V:$V,MATCH(Z4,$A:$A,0))),"")</f>
        <v/>
      </c>
      <c r="M4" s="1068"/>
      <c r="N4" s="1068" t="str">
        <f>IFERROR(HYPERLINK("#"&amp;ADDRESS(ROW($A$1)+MATCH(AB4,$A:$A,0)-1,3),INDEX($V:$V,MATCH(AB4,$A:$A,0))),"")</f>
        <v/>
      </c>
      <c r="O4" s="1068"/>
      <c r="V4" s="309">
        <v>5</v>
      </c>
      <c r="W4" s="126"/>
      <c r="X4" s="126">
        <v>6</v>
      </c>
      <c r="Y4" s="126"/>
      <c r="Z4" s="126">
        <v>7</v>
      </c>
      <c r="AA4" s="126"/>
      <c r="AB4" s="310">
        <v>8</v>
      </c>
    </row>
    <row r="6" spans="1:41" ht="18" customHeight="1" x14ac:dyDescent="0.25">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x14ac:dyDescent="0.25"/>
    <row r="8" spans="1:41" ht="12.75" customHeight="1" x14ac:dyDescent="0.25">
      <c r="C8" s="229">
        <v>1</v>
      </c>
      <c r="D8" s="229" t="str">
        <f>Translations!$B$547</f>
        <v>Summary of the installation</v>
      </c>
      <c r="F8" s="230"/>
      <c r="G8" s="230"/>
      <c r="H8" s="230"/>
      <c r="I8" s="230"/>
      <c r="J8" s="230"/>
      <c r="K8" s="230"/>
      <c r="L8" s="230"/>
      <c r="M8" s="230"/>
      <c r="N8" s="230"/>
      <c r="O8" s="230"/>
      <c r="P8" s="230"/>
    </row>
    <row r="9" spans="1:41" ht="5.0999999999999996" customHeight="1" x14ac:dyDescent="0.25"/>
    <row r="10" spans="1:41" ht="12.75" customHeight="1" x14ac:dyDescent="0.25">
      <c r="E10" s="91" t="str">
        <f>A_InstData!E20</f>
        <v>Name of the installation (English name):</v>
      </c>
      <c r="G10" s="1168" t="str">
        <f>IF(A_InstData!I20="","",A_InstData!I20)</f>
        <v/>
      </c>
      <c r="H10" s="1168"/>
      <c r="I10" s="1168"/>
      <c r="K10" s="137" t="str">
        <f>Translations!$B$548</f>
        <v>Reporting period start:</v>
      </c>
      <c r="L10" s="389" t="str">
        <f>a_Contents!I63</f>
        <v/>
      </c>
    </row>
    <row r="11" spans="1:41" ht="12.75" customHeight="1" x14ac:dyDescent="0.25">
      <c r="E11" s="91" t="str">
        <f>A_InstData!E21</f>
        <v>Street, Number:</v>
      </c>
      <c r="G11" s="1130" t="str">
        <f>IF(A_InstData!I21="","",A_InstData!I21)</f>
        <v/>
      </c>
      <c r="H11" s="1130"/>
      <c r="I11" s="1130"/>
      <c r="K11" s="137" t="str">
        <f>Translations!$B$549</f>
        <v>Reporting period end:</v>
      </c>
      <c r="L11" s="389" t="str">
        <f>a_Contents!K63</f>
        <v/>
      </c>
    </row>
    <row r="12" spans="1:41" ht="12.75" customHeight="1" x14ac:dyDescent="0.25">
      <c r="E12" s="91" t="str">
        <f>Translations!$B$76</f>
        <v>Economic activity:</v>
      </c>
      <c r="G12" s="1130" t="str">
        <f>IF(A_InstData!I22="","",A_InstData!I22)</f>
        <v/>
      </c>
      <c r="H12" s="1130"/>
      <c r="I12" s="1130"/>
    </row>
    <row r="13" spans="1:41" ht="12.75" customHeight="1" x14ac:dyDescent="0.25">
      <c r="E13" s="91" t="str">
        <f>Translations!$B$80</f>
        <v>Country:</v>
      </c>
      <c r="G13" s="1130" t="str">
        <f>IF(A_InstData!I26="","",A_InstData!I26)</f>
        <v/>
      </c>
      <c r="H13" s="1130"/>
      <c r="I13" s="1130"/>
    </row>
    <row r="14" spans="1:41" ht="12.75" customHeight="1" x14ac:dyDescent="0.25">
      <c r="E14" s="91" t="str">
        <f>Translations!$B$81</f>
        <v>UNLOCODE:</v>
      </c>
      <c r="G14" s="1130" t="str">
        <f>IF(A_InstData!I27="","",A_InstData!I27)</f>
        <v/>
      </c>
      <c r="H14" s="1130"/>
      <c r="I14" s="1130"/>
    </row>
    <row r="15" spans="1:41" ht="12.75" customHeight="1" x14ac:dyDescent="0.25">
      <c r="E15" s="91" t="str">
        <f>Translations!$B$82</f>
        <v>Coordinates of the main emission source (latitude):</v>
      </c>
      <c r="G15" s="1130" t="str">
        <f>IF(A_InstData!I28="","",A_InstData!I28)</f>
        <v/>
      </c>
      <c r="H15" s="1130"/>
      <c r="I15" s="1130"/>
    </row>
    <row r="16" spans="1:41" ht="12.75" customHeight="1" x14ac:dyDescent="0.25">
      <c r="E16" s="91" t="str">
        <f>Translations!$B$83</f>
        <v>Coordinates of the main emission source (longitude):</v>
      </c>
      <c r="G16" s="1136" t="str">
        <f>IF(A_InstData!I29="","",A_InstData!I29)</f>
        <v/>
      </c>
      <c r="H16" s="1136"/>
      <c r="I16" s="1136"/>
    </row>
    <row r="17" spans="1:41" ht="12.75" customHeight="1" x14ac:dyDescent="0.25"/>
    <row r="18" spans="1:41" ht="12.75" customHeight="1" x14ac:dyDescent="0.25">
      <c r="C18" s="229">
        <v>2</v>
      </c>
      <c r="D18" s="229" t="str">
        <f>Translations!$B$550</f>
        <v>Summary of the production processes, included precursors and production routes, where relevant</v>
      </c>
    </row>
    <row r="19" spans="1:41" s="133" customFormat="1" ht="25.5" customHeight="1" x14ac:dyDescent="0.2">
      <c r="A19" s="132"/>
      <c r="D19" s="231" t="s">
        <v>1331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1256</v>
      </c>
      <c r="Y19" s="117" t="s">
        <v>1257</v>
      </c>
      <c r="Z19" s="117" t="s">
        <v>1258</v>
      </c>
      <c r="AA19" s="117" t="s">
        <v>1259</v>
      </c>
      <c r="AB19" s="117" t="s">
        <v>1260</v>
      </c>
      <c r="AC19" s="117" t="s">
        <v>1261</v>
      </c>
      <c r="AD19" s="117" t="s">
        <v>1262</v>
      </c>
      <c r="AE19" s="132"/>
      <c r="AF19" s="132"/>
      <c r="AG19" s="132"/>
      <c r="AH19" s="132"/>
      <c r="AI19" s="132"/>
      <c r="AJ19" s="132"/>
      <c r="AK19" s="132"/>
      <c r="AL19" s="132"/>
      <c r="AM19" s="132"/>
      <c r="AN19" s="132"/>
      <c r="AO19" s="132"/>
    </row>
    <row r="20" spans="1:41" ht="12.75" customHeight="1" x14ac:dyDescent="0.25">
      <c r="D20" s="428" t="str">
        <f>A_InstData!D62</f>
        <v>G1</v>
      </c>
      <c r="E20" s="430" t="str">
        <f>IF(INDEX(CNTR_List_ExistGoodTypes,ROWS(D20:D$20))=CONST_NA,"",INDEX(CNTR_List_ExistGoodTypes,ROWS(D20:D$20)))</f>
        <v/>
      </c>
      <c r="F20" s="430" t="str">
        <f>IF($E20="","",IF(A_InstData!G62="","",A_InstData!G62))</f>
        <v/>
      </c>
      <c r="G20" s="880" t="str">
        <f>IF($E20="","",IF(A_InstData!I62="","",A_InstData!I62))</f>
        <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t="str">
        <f t="shared" ref="X20:X29" si="0">IF(E20="","",MATCH(E20,CONST_LIST_Goods,0))</f>
        <v/>
      </c>
      <c r="Y20" s="105" t="str">
        <f t="shared" ref="Y20:Y29" si="1">IF(G20="","",MATCH(G20,INDEX(CONST_MATRIX_ProductionRoute,$X20,),0))</f>
        <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25">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25">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x14ac:dyDescent="0.25"/>
    <row r="31" spans="1:41" s="133" customFormat="1" ht="25.5" customHeight="1" x14ac:dyDescent="0.2">
      <c r="A31" s="132"/>
      <c r="D31" s="231" t="s">
        <v>1353</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1256</v>
      </c>
      <c r="Y31" s="117" t="s">
        <v>1277</v>
      </c>
      <c r="Z31" s="117" t="s">
        <v>1278</v>
      </c>
      <c r="AA31" s="117" t="s">
        <v>1279</v>
      </c>
      <c r="AB31" s="117" t="s">
        <v>1280</v>
      </c>
      <c r="AC31" s="117" t="s">
        <v>1281</v>
      </c>
      <c r="AD31" s="117" t="s">
        <v>1282</v>
      </c>
      <c r="AE31" s="89"/>
      <c r="AF31" s="89"/>
      <c r="AG31" s="132"/>
      <c r="AH31" s="132"/>
      <c r="AI31" s="132"/>
      <c r="AJ31" s="132"/>
      <c r="AK31" s="132"/>
      <c r="AL31" s="132"/>
      <c r="AM31" s="132"/>
      <c r="AN31" s="132"/>
      <c r="AO31" s="132"/>
    </row>
    <row r="32" spans="1:41" ht="12.75" customHeight="1" x14ac:dyDescent="0.25">
      <c r="D32" s="232" t="str">
        <f>A_InstData!D82</f>
        <v>P1</v>
      </c>
      <c r="E32" s="430" t="str">
        <f>IF(INDEX(CNTR_List_ExistProdProcNames,ROWS(D$32:D32))=CONST_NA,"",INDEX(CNTR_List_ExistProdProcNames,ROWS(D$32:D32)))</f>
        <v/>
      </c>
      <c r="F32" s="430" t="str">
        <f t="shared" ref="F32:F41" si="8">IF(E32="","",INDEX(CNTR_List_ExistProdProc,MATCH(E32,CNTR_List_ExistProdProcNames,0)))</f>
        <v/>
      </c>
      <c r="G32" s="880" t="str">
        <f>IF($F32="","",IF(INDEX(A_InstData!F$82:F$91,MATCH($F32,CNTR_List_ExistProdProc,0))="","",INDEX(A_InstData!F$82:F$91,MATCH($F32,CNTR_List_ExistProdProc,0))))</f>
        <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t="str">
        <f t="shared" ref="X32:X41" si="9">IF(F32="","",MATCH(F32,CONST_LIST_Goods,0))</f>
        <v/>
      </c>
      <c r="Y32" s="105" t="str">
        <f>IF(G32="","",IF(G32=CONST_OnlyDirProd,0,MATCH(G32,INDEX(Parameters_Constants!$AC$80:$AM$97,$X32,),0)))</f>
        <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25">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25">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25">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25">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25">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25">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25">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25">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25">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x14ac:dyDescent="0.25"/>
    <row r="43" spans="1:41" s="133" customFormat="1" ht="25.5" customHeight="1" x14ac:dyDescent="0.2">
      <c r="A43" s="132"/>
      <c r="D43" s="231" t="s">
        <v>1354</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1295</v>
      </c>
      <c r="T43" s="440"/>
      <c r="V43" s="132"/>
      <c r="W43" s="89"/>
      <c r="X43" s="117" t="s">
        <v>1256</v>
      </c>
      <c r="Y43" s="117" t="s">
        <v>1257</v>
      </c>
      <c r="Z43" s="117" t="s">
        <v>1258</v>
      </c>
      <c r="AA43" s="117" t="s">
        <v>1259</v>
      </c>
      <c r="AB43" s="117" t="s">
        <v>1260</v>
      </c>
      <c r="AC43" s="117" t="s">
        <v>1261</v>
      </c>
      <c r="AD43" s="132"/>
      <c r="AE43" s="132"/>
      <c r="AF43" s="132"/>
      <c r="AG43" s="132"/>
      <c r="AH43" s="132"/>
      <c r="AI43" s="132"/>
      <c r="AJ43" s="132"/>
      <c r="AK43" s="132"/>
      <c r="AL43" s="132"/>
      <c r="AM43" s="132"/>
      <c r="AN43" s="132"/>
      <c r="AO43" s="132"/>
    </row>
    <row r="44" spans="1:41" ht="12.75" customHeight="1" x14ac:dyDescent="0.25">
      <c r="D44" s="428" t="str">
        <f>A_InstData!D101</f>
        <v>PP1</v>
      </c>
      <c r="E44" s="430" t="str">
        <f>IF(INDEX(CNTR_List_ExistPurchPrecNames,ROWS(D$44:D44))=CONST_NA,"",INDEX(CNTR_List_ExistPurchPrecNames,ROWS(D$44:D44)))</f>
        <v/>
      </c>
      <c r="F44" s="430" t="str">
        <f t="shared" ref="F44:F63" si="11">IF(E44="","",INDEX(CNTR_List_ExistPurchPrec,MATCH(E44,CNTR_List_ExistPurchPrecNames,0)))</f>
        <v/>
      </c>
      <c r="G44" s="880" t="str">
        <f>IF($F44="","",IF(INDEX(A_InstData!G$101:G$120,MATCH($F44,CNTR_List_ExistPurchPrec,0))="","",INDEX(A_InstData!G$101:G$120,MATCH($F44,CNTR_List_ExistPurchPrec,0))))</f>
        <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
      </c>
      <c r="W44" s="104" t="str">
        <f t="shared" ref="W44:W63" si="12">D44</f>
        <v>PP1</v>
      </c>
      <c r="X44" s="105" t="str">
        <f t="shared" ref="X44:X63" si="13">IF(F44="","",MATCH(F44,CONST_LIST_Goods,0))</f>
        <v/>
      </c>
      <c r="Y44" s="105" t="str">
        <f t="shared" ref="Y44:Y63" si="14">IF(G44="","",MATCH(G44,INDEX(CONST_MATRIX_ProductionRoute,$X44,),0))</f>
        <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25">
      <c r="D45" s="428" t="str">
        <f>A_InstData!D102</f>
        <v>PP2</v>
      </c>
      <c r="E45" s="431" t="str">
        <f>IF(INDEX(CNTR_List_ExistPurchPrecNames,ROWS(D$44:D45))=CONST_NA,"",INDEX(CNTR_List_ExistPurchPrecNames,ROWS(D$44:D45)))</f>
        <v/>
      </c>
      <c r="F45" s="431" t="str">
        <f t="shared" si="11"/>
        <v/>
      </c>
      <c r="G45" s="881" t="str">
        <f>IF($F45="","",IF(INDEX(A_InstData!G$101:G$120,MATCH($F45,CNTR_List_ExistPurchPrec,0))="","",INDEX(A_InstData!G$101:G$120,MATCH($F45,CNTR_List_ExistPurchPrec,0))))</f>
        <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
      </c>
      <c r="W45" s="104" t="str">
        <f t="shared" si="12"/>
        <v>PP2</v>
      </c>
      <c r="X45" s="105" t="str">
        <f t="shared" si="13"/>
        <v/>
      </c>
      <c r="Y45" s="105" t="str">
        <f t="shared" si="14"/>
        <v/>
      </c>
      <c r="Z45" s="105" t="str">
        <f t="shared" si="15"/>
        <v/>
      </c>
      <c r="AA45" s="105" t="str">
        <f t="shared" si="16"/>
        <v/>
      </c>
      <c r="AB45" s="105" t="str">
        <f t="shared" si="17"/>
        <v/>
      </c>
      <c r="AC45" s="105" t="str">
        <f t="shared" si="18"/>
        <v/>
      </c>
    </row>
    <row r="46" spans="1:41" ht="12.75" customHeight="1" x14ac:dyDescent="0.25">
      <c r="D46" s="428" t="str">
        <f>A_InstData!D103</f>
        <v>PP3</v>
      </c>
      <c r="E46" s="431" t="str">
        <f>IF(INDEX(CNTR_List_ExistPurchPrecNames,ROWS(D$44:D46))=CONST_NA,"",INDEX(CNTR_List_ExistPurchPrecNames,ROWS(D$44:D46)))</f>
        <v/>
      </c>
      <c r="F46" s="431" t="str">
        <f t="shared" si="11"/>
        <v/>
      </c>
      <c r="G46" s="881" t="str">
        <f>IF($F46="","",IF(INDEX(A_InstData!G$101:G$120,MATCH($F46,CNTR_List_ExistPurchPrec,0))="","",INDEX(A_InstData!G$101:G$120,MATCH($F46,CNTR_List_ExistPurchPrec,0))))</f>
        <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
      </c>
      <c r="W46" s="104" t="str">
        <f t="shared" si="12"/>
        <v>PP3</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25">
      <c r="D47" s="428" t="str">
        <f>A_InstData!D104</f>
        <v>PP4</v>
      </c>
      <c r="E47" s="431" t="str">
        <f>IF(INDEX(CNTR_List_ExistPurchPrecNames,ROWS(D$44:D47))=CONST_NA,"",INDEX(CNTR_List_ExistPurchPrecNames,ROWS(D$44:D47)))</f>
        <v/>
      </c>
      <c r="F47" s="431" t="str">
        <f t="shared" si="11"/>
        <v/>
      </c>
      <c r="G47" s="881" t="str">
        <f>IF($F47="","",IF(INDEX(A_InstData!G$101:G$120,MATCH($F47,CNTR_List_ExistPurchPrec,0))="","",INDEX(A_InstData!G$101:G$120,MATCH($F47,CNTR_List_ExistPurchPrec,0))))</f>
        <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5">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25">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25">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25">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25">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25">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25">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25">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25">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25">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25">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25">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25">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25">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25">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25">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25"/>
    <row r="65" spans="1:22" ht="18" customHeight="1" x14ac:dyDescent="0.25">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x14ac:dyDescent="0.25"/>
    <row r="67" spans="1:22" ht="15" customHeight="1" x14ac:dyDescent="0.25">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x14ac:dyDescent="0.25"/>
    <row r="69" spans="1:22" ht="25.5" customHeight="1" x14ac:dyDescent="0.2">
      <c r="D69" s="231" t="s">
        <v>1331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x14ac:dyDescent="0.25">
      <c r="D70" s="232" t="str">
        <f>A_InstData!D82</f>
        <v>P1</v>
      </c>
      <c r="E70" s="434" t="str">
        <f t="shared" ref="E70:F79" si="19">E32</f>
        <v/>
      </c>
      <c r="F70" s="430" t="str">
        <f t="shared" si="19"/>
        <v/>
      </c>
      <c r="G70" s="233" t="str">
        <f t="shared" ref="G70:G80" si="20">CONST_tCO2eq</f>
        <v>tCO2e</v>
      </c>
      <c r="H70" s="234" t="str">
        <f>IF($E32="","",SUMIFS(D_Processes!$T:$T,D_Processes!$R:$R,CONST_EmDir&amp;$E32))</f>
        <v/>
      </c>
      <c r="I70" s="234" t="str">
        <f>IF($E32="","",SUMIFS(D_Processes!$T:$T,D_Processes!$R:$R,CONST_EmDirHeat&amp;$E32))</f>
        <v/>
      </c>
      <c r="J70" s="234" t="str">
        <f>IF($E32="","",SUMIFS(D_Processes!$T:$T,D_Processes!$R:$R,CONST_EmDirWasteGases&amp;$E32))</f>
        <v/>
      </c>
      <c r="K70" s="234" t="str">
        <f t="shared" ref="K70:K79" si="21">IF(E32="","",SUM(H70:J70))</f>
        <v/>
      </c>
      <c r="L70" s="234" t="str">
        <f>IF($E32="","",SUMIFS(D_Processes!$T:$T,D_Processes!$S:$S,CONST_CNTR_EmbedEmInDir&amp;$E32))</f>
        <v/>
      </c>
    </row>
    <row r="71" spans="1:22" ht="12.75" customHeight="1" x14ac:dyDescent="0.25">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x14ac:dyDescent="0.25">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x14ac:dyDescent="0.25">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x14ac:dyDescent="0.25">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x14ac:dyDescent="0.25">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x14ac:dyDescent="0.25">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x14ac:dyDescent="0.25">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x14ac:dyDescent="0.25">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x14ac:dyDescent="0.25">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x14ac:dyDescent="0.25">
      <c r="E80" s="295" t="str">
        <f>Translations!$B$316</f>
        <v>Total</v>
      </c>
      <c r="F80" s="295"/>
      <c r="G80" s="296" t="str">
        <f t="shared" si="20"/>
        <v>tCO2e</v>
      </c>
      <c r="H80" s="239" t="str">
        <f>IF(COUNT(H70:H79)&gt;0,SUM(H70:H79),"")</f>
        <v/>
      </c>
      <c r="I80" s="239" t="str">
        <f>IF(COUNT(I70:I79)&gt;0,SUM(I70:I79),"")</f>
        <v/>
      </c>
      <c r="J80" s="239" t="str">
        <f>IF(COUNT(J70:J79)&gt;0,SUM(J70:J79),"")</f>
        <v/>
      </c>
      <c r="K80" s="239" t="str">
        <f>IF(COUNT(K70:K79)&gt;0,SUM(K70:K79),"")</f>
        <v/>
      </c>
      <c r="L80" s="239" t="str">
        <f>IF(COUNT(L70:L79)&gt;0,SUM(L70:L79),"")</f>
        <v/>
      </c>
    </row>
    <row r="81" spans="3:19" ht="5.0999999999999996" customHeight="1" x14ac:dyDescent="0.25"/>
    <row r="82" spans="3:19" ht="38.25" customHeight="1" x14ac:dyDescent="0.2">
      <c r="D82" s="231" t="s">
        <v>1353</v>
      </c>
      <c r="E82" s="146" t="str">
        <f>Translations!$B$560</f>
        <v>Comparison:</v>
      </c>
      <c r="J82" s="898" t="str">
        <f>Translations!$B$221</f>
        <v>Unit</v>
      </c>
      <c r="K82" s="314" t="str">
        <f>Translations!$B$237</f>
        <v>Total direct emissions</v>
      </c>
      <c r="L82" s="314" t="str">
        <f>Translations!$B$238</f>
        <v>Total indirect emissions</v>
      </c>
    </row>
    <row r="83" spans="3:19" ht="12.75" customHeight="1" x14ac:dyDescent="0.25">
      <c r="D83" s="137" t="s">
        <v>1238</v>
      </c>
      <c r="E83" s="172" t="str">
        <f>Translations!$B$562</f>
        <v>Total emissions of the installation (from sheet "C_Emissions&amp;Energy")</v>
      </c>
      <c r="F83" s="172"/>
      <c r="G83" s="172"/>
      <c r="H83" s="172"/>
      <c r="I83" s="172"/>
      <c r="J83" s="240" t="str">
        <f>CONST_tCO2eq</f>
        <v>tCO2e</v>
      </c>
      <c r="K83" s="902" t="str">
        <f>'C_Emissions&amp;Energy'!L26</f>
        <v/>
      </c>
      <c r="L83" s="902" t="str">
        <f>'C_Emissions&amp;Energy'!M26</f>
        <v/>
      </c>
    </row>
    <row r="84" spans="3:19" ht="12.75" customHeight="1" x14ac:dyDescent="0.25">
      <c r="D84" s="137" t="s">
        <v>1239</v>
      </c>
      <c r="E84" s="138" t="str">
        <f>Translations!$B$563</f>
        <v>Rest (= emissions not attributed to CBAM processes)</v>
      </c>
      <c r="F84" s="138"/>
      <c r="G84" s="138"/>
      <c r="H84" s="138"/>
      <c r="I84" s="138"/>
      <c r="J84" s="241" t="str">
        <f>CONST_tCO2eq</f>
        <v>tCO2e</v>
      </c>
      <c r="K84" s="234" t="str">
        <f>IF(COUNT(K68:K83)&gt;0,SUM(K83)-SUM(K80),"")</f>
        <v/>
      </c>
      <c r="L84" s="234" t="str">
        <f>IF(COUNT(L68:L83)&gt;0,SUM(L83)-SUM(L80),"")</f>
        <v/>
      </c>
    </row>
    <row r="85" spans="3:19" ht="12.75" customHeight="1" x14ac:dyDescent="0.25">
      <c r="D85" s="137" t="s">
        <v>1240</v>
      </c>
      <c r="E85" s="141" t="str">
        <f>Translations!$B$564</f>
        <v>Rest (expressed as % of total)</v>
      </c>
      <c r="F85" s="141"/>
      <c r="G85" s="141"/>
      <c r="H85" s="141"/>
      <c r="I85" s="141"/>
      <c r="J85" s="242" t="s">
        <v>1329</v>
      </c>
      <c r="K85" s="243" t="str">
        <f>IF(AND(COUNT(K83:K84)&gt;0,SUM(K83)&gt;0),K84/K83,"")</f>
        <v/>
      </c>
      <c r="L85" s="243" t="str">
        <f>IF(AND(COUNT(L83:L84)&gt;0,SUM(L83)&gt;0),L84/L83,"")</f>
        <v/>
      </c>
    </row>
    <row r="86" spans="3:19" ht="38.85" customHeight="1" x14ac:dyDescent="0.25">
      <c r="E86" s="126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65"/>
      <c r="G86" s="1265"/>
      <c r="H86" s="1265"/>
      <c r="I86" s="1265"/>
      <c r="J86" s="1265"/>
      <c r="K86" s="1265"/>
      <c r="L86" s="1151"/>
    </row>
    <row r="87" spans="3:19" ht="5.0999999999999996" customHeight="1" x14ac:dyDescent="0.25"/>
    <row r="88" spans="3:19" ht="12.75" customHeight="1" x14ac:dyDescent="0.25">
      <c r="C88" s="229">
        <v>2</v>
      </c>
      <c r="D88" s="229" t="str">
        <f>Translations!$B$566</f>
        <v>Specific direct and indirect (embedded) emissions</v>
      </c>
    </row>
    <row r="89" spans="3:19" ht="12.75" customHeight="1" x14ac:dyDescent="0.25">
      <c r="C89" s="229"/>
      <c r="D89" s="131" t="str">
        <f>Translations!$B$567</f>
        <v>The following abbreviations are used in the tables below:</v>
      </c>
      <c r="E89" s="244"/>
      <c r="F89" s="244"/>
      <c r="G89" s="244"/>
      <c r="H89" s="244"/>
      <c r="I89" s="244"/>
      <c r="J89" s="244"/>
      <c r="K89" s="244"/>
      <c r="L89" s="244"/>
    </row>
    <row r="90" spans="3:19" ht="12.75" customHeight="1" x14ac:dyDescent="0.25">
      <c r="C90" s="229"/>
      <c r="E90" s="245" t="str">
        <f>Translations!$B$568</f>
        <v>SE (direct)</v>
      </c>
      <c r="F90" s="1184" t="str">
        <f>Translations!$B$569</f>
        <v>Specific direct emissions of the production process, i.e. excluding any embedded emissions from any precursors consumed in the process.</v>
      </c>
      <c r="G90" s="1184"/>
      <c r="H90" s="1184"/>
      <c r="I90" s="1184"/>
      <c r="J90" s="1184"/>
      <c r="K90" s="1184"/>
      <c r="L90" s="1184"/>
      <c r="M90" s="1184"/>
      <c r="N90" s="1184"/>
    </row>
    <row r="91" spans="3:19" ht="25.5" customHeight="1" x14ac:dyDescent="0.25">
      <c r="C91" s="229"/>
      <c r="E91" s="246" t="str">
        <f>Translations!$B$570</f>
        <v>SEE (direct)</v>
      </c>
      <c r="F91" s="1186" t="str">
        <f>Translations!$B$571</f>
        <v>Specific embedded direct emissions of the production process, i.e. including any embedded emissions from any precursors consumed in the process.</v>
      </c>
      <c r="G91" s="1186"/>
      <c r="H91" s="1186"/>
      <c r="I91" s="1186"/>
      <c r="J91" s="1186"/>
      <c r="K91" s="1186"/>
      <c r="L91" s="1186"/>
      <c r="M91" s="1187"/>
      <c r="N91" s="1187"/>
    </row>
    <row r="92" spans="3:19" ht="25.5" customHeight="1" x14ac:dyDescent="0.25">
      <c r="C92" s="229"/>
      <c r="E92" s="246" t="str">
        <f>Translations!$B$572</f>
        <v>SE (indirect)</v>
      </c>
      <c r="F92" s="1186" t="str">
        <f>Translations!$B$573</f>
        <v>Specific indirect emissions of the production process, i.e. excluding any embedded indirect emissions from any precursors consumed in the process.</v>
      </c>
      <c r="G92" s="1187"/>
      <c r="H92" s="1187"/>
      <c r="I92" s="1187"/>
      <c r="J92" s="1187"/>
      <c r="K92" s="1187"/>
      <c r="L92" s="1187"/>
      <c r="M92" s="1187"/>
      <c r="N92" s="1187"/>
    </row>
    <row r="93" spans="3:19" ht="25.5" customHeight="1" x14ac:dyDescent="0.25">
      <c r="C93" s="229"/>
      <c r="E93" s="246" t="str">
        <f>Translations!$B$574</f>
        <v>SEE (indirect)</v>
      </c>
      <c r="F93" s="1186" t="str">
        <f>Translations!$B$575</f>
        <v>Specific embedded indirect emissions of the production process, i.e. including any embedded indirect emissions from any precursors consumed in the process.</v>
      </c>
      <c r="G93" s="1187"/>
      <c r="H93" s="1187"/>
      <c r="I93" s="1187"/>
      <c r="J93" s="1187"/>
      <c r="K93" s="1187"/>
      <c r="L93" s="1187"/>
      <c r="M93" s="1187"/>
      <c r="N93" s="1187"/>
    </row>
    <row r="94" spans="3:19" ht="12.75" customHeight="1" x14ac:dyDescent="0.25">
      <c r="C94" s="229"/>
      <c r="E94" s="246" t="str">
        <f>Translations!$B$576</f>
        <v>Electricity consumed</v>
      </c>
      <c r="F94" s="1186" t="str">
        <f>Translations!$B$577</f>
        <v>Specific electricity consumption within the production process.</v>
      </c>
      <c r="G94" s="1187"/>
      <c r="H94" s="1187"/>
      <c r="I94" s="1187"/>
      <c r="J94" s="1187"/>
      <c r="K94" s="1187"/>
      <c r="L94" s="1187"/>
      <c r="M94" s="1187"/>
      <c r="N94" s="1187"/>
    </row>
    <row r="95" spans="3:19" ht="25.5" customHeight="1" x14ac:dyDescent="0.2">
      <c r="E95" s="246" t="str">
        <f>Translations!$B$480</f>
        <v>Embedded electricity</v>
      </c>
      <c r="F95" s="1186" t="str">
        <f>Translations!$B$481</f>
        <v>Specific embedded electricity consumption of the production process, i.e. including any embedded electricity consumption in other production processes within the installation (i.e. excl. from purchased precursors).</v>
      </c>
      <c r="G95" s="1187"/>
      <c r="H95" s="1187"/>
      <c r="I95" s="1187"/>
      <c r="J95" s="1187"/>
      <c r="K95" s="1187"/>
      <c r="L95" s="1187"/>
      <c r="M95" s="1187"/>
      <c r="N95" s="1187"/>
      <c r="O95" s="113"/>
      <c r="P95" s="113"/>
      <c r="Q95" s="113"/>
      <c r="R95" s="113"/>
      <c r="S95" s="113"/>
    </row>
    <row r="96" spans="3:19" ht="12.75" customHeight="1" x14ac:dyDescent="0.2">
      <c r="C96" s="229"/>
      <c r="E96" s="246" t="str">
        <f>Translations!$B$351</f>
        <v>CP due (per t or MWh)</v>
      </c>
      <c r="F96" s="1186" t="str">
        <f>Translations!$B$1870</f>
        <v>This information is taken from the "tool to calculate the carbon price due" in sheet "F_Tools", where relevant.</v>
      </c>
      <c r="G96" s="1187"/>
      <c r="H96" s="1187"/>
      <c r="I96" s="1187"/>
      <c r="J96" s="1187"/>
      <c r="K96" s="1187"/>
      <c r="L96" s="1187"/>
      <c r="M96" s="1187"/>
      <c r="N96" s="1187"/>
      <c r="O96" s="113"/>
      <c r="P96" s="113"/>
      <c r="Q96" s="113"/>
      <c r="R96" s="113"/>
      <c r="S96" s="113"/>
    </row>
    <row r="97" spans="1:41" ht="12.75" customHeight="1" x14ac:dyDescent="0.2">
      <c r="C97" s="229"/>
      <c r="E97" s="247" t="str">
        <f>Translations!$B$352</f>
        <v>Rebate (per t or MWh)</v>
      </c>
      <c r="F97" s="1188" t="str">
        <f>Translations!$B$1870</f>
        <v>This information is taken from the "tool to calculate the carbon price due" in sheet "F_Tools", where relevant.</v>
      </c>
      <c r="G97" s="1189"/>
      <c r="H97" s="1189"/>
      <c r="I97" s="1189"/>
      <c r="J97" s="1189"/>
      <c r="K97" s="1189"/>
      <c r="L97" s="1189"/>
      <c r="M97" s="1189"/>
      <c r="N97" s="1189"/>
      <c r="O97" s="113"/>
      <c r="P97" s="113"/>
      <c r="Q97" s="113"/>
      <c r="R97" s="113"/>
      <c r="S97" s="113"/>
    </row>
    <row r="98" spans="1:41" ht="5.0999999999999996" customHeight="1" thickBot="1" x14ac:dyDescent="0.3"/>
    <row r="99" spans="1:41" s="113" customFormat="1" ht="26.25" customHeight="1" x14ac:dyDescent="0.2">
      <c r="A99" s="112"/>
      <c r="E99" s="146"/>
      <c r="F99" s="1256"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71" t="str">
        <f>Translations!$B$351</f>
        <v>CP due (per t or MWh)</v>
      </c>
      <c r="N99" s="1273"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25">
      <c r="D100" s="36" t="s">
        <v>1252</v>
      </c>
      <c r="E100" s="146" t="str">
        <f>Translations!$B$120</f>
        <v>Production process</v>
      </c>
      <c r="F100" s="1257"/>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72"/>
      <c r="N100" s="1274"/>
    </row>
    <row r="101" spans="1:41" ht="12.75" customHeight="1" x14ac:dyDescent="0.25">
      <c r="D101" s="232" t="str">
        <f>INDEX(CNTR_ListProdProcID,ROWS(D$101:D101))</f>
        <v>P1</v>
      </c>
      <c r="E101" s="158" t="str">
        <f t="shared" ref="E101:E110" si="22">E32</f>
        <v/>
      </c>
      <c r="F101" s="158" t="str">
        <f t="shared" ref="F101:F110" si="23">IF(E101="","",INDEX(CNTR_List_ExistProdProc,MATCH(E101,CNTR_List_ExistProdProcNames,0)))</f>
        <v/>
      </c>
      <c r="G101" s="248" t="str">
        <f>IF($E101="","",INDEX(InputOutput!AJ$71:AJ$100,MATCH($E101,InputOutput!$D$71:$D$100,0)))</f>
        <v/>
      </c>
      <c r="H101" s="248" t="str">
        <f>IF($E101="","",INDEX(InputOutput!AK$71:AK$100,MATCH($E101,InputOutput!$D$71:$D$100,0)))</f>
        <v/>
      </c>
      <c r="I101" s="248" t="str">
        <f>IF($E101="","",INDEX(InputOutput!AL$71:AL$100,MATCH($E101,InputOutput!$D$71:$D$100,0)))</f>
        <v/>
      </c>
      <c r="J101" s="248" t="str">
        <f>IF($E101="","",INDEX(InputOutput!AM$71:AM$100,MATCH($E101,InputOutput!$D$71:$D$100,0)))</f>
        <v/>
      </c>
      <c r="K101" s="248" t="str">
        <f>IF($E101="","",INDEX(InputOutput!AN$71:AN$100,MATCH($E101,InputOutput!$D$71:$D$100,0)))</f>
        <v/>
      </c>
      <c r="L101" s="248" t="str">
        <f>IF($E101="","",INDEX(InputOutput!AO$71:AO$100,MATCH($E101,InputOutput!$D$71:$D$100,0)))</f>
        <v/>
      </c>
      <c r="M101" s="1047" t="str">
        <f>INDEX(F_Tools!L$100:L$109,MATCH($D101,F_Tools!$D$100:$D$109,0))</f>
        <v/>
      </c>
      <c r="N101" s="1047" t="str">
        <f>INDEX(F_Tools!M$100:M$109,MATCH($D101,F_Tools!$D$100:$D$109,0))</f>
        <v/>
      </c>
    </row>
    <row r="102" spans="1:41" ht="12.75" customHeight="1" x14ac:dyDescent="0.25">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x14ac:dyDescent="0.25">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x14ac:dyDescent="0.25">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x14ac:dyDescent="0.25">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x14ac:dyDescent="0.25">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x14ac:dyDescent="0.25">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x14ac:dyDescent="0.25">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x14ac:dyDescent="0.25">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x14ac:dyDescent="0.25">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x14ac:dyDescent="0.25"/>
    <row r="112" spans="1:41" s="113" customFormat="1" ht="26.25" customHeight="1" x14ac:dyDescent="0.2">
      <c r="A112" s="112"/>
      <c r="E112" s="146"/>
      <c r="F112" s="1256"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2">
      <c r="D113" s="36" t="s">
        <v>1253</v>
      </c>
      <c r="E113" s="146" t="str">
        <f>Translations!$B$124</f>
        <v>Purchased precursors</v>
      </c>
      <c r="F113" s="1257"/>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x14ac:dyDescent="0.2">
      <c r="D114" s="232" t="str">
        <f>INDEX(CNTR_ListPurchPrecID,ROWS(D$114:D114))</f>
        <v>PP1</v>
      </c>
      <c r="E114" s="158" t="str">
        <f>IF(INDEX(CNTR_List_ExistPurchPrecNames,ROWS(D$114:D114))=CONST_NA,"",INDEX(CNTR_List_ExistPurchPrecNames,ROWS(D$114:D114)))</f>
        <v/>
      </c>
      <c r="F114" s="158" t="str">
        <f>IF(E114="","",INDEX(CNTR_List_ExistPurchPrec,MATCH(D114,CNTR_ListPurchPrecID,0)))</f>
        <v/>
      </c>
      <c r="G114" s="248" t="str">
        <f>IF($E114="","",INDEX(InputOutput!AJ$71:AJ$100,MATCH($E114,InputOutput!$D$71:$D$100,0)))</f>
        <v/>
      </c>
      <c r="H114" s="248" t="str">
        <f>IF($E114="","",INDEX(InputOutput!AK$71:AK$100,MATCH($E114,InputOutput!$D$71:$D$100,0)))</f>
        <v/>
      </c>
      <c r="I114" s="248" t="str">
        <f>IF($E114="","",INDEX(InputOutput!AL$71:AL$100,MATCH($E114,InputOutput!$D$71:$D$100,0)))</f>
        <v/>
      </c>
      <c r="J114" s="248" t="str">
        <f>IF($E114="","",INDEX(InputOutput!AM$71:AM$100,MATCH($E114,InputOutput!$D$71:$D$100,0)))</f>
        <v/>
      </c>
      <c r="K114" s="113"/>
      <c r="L114" s="113"/>
      <c r="M114" s="113"/>
    </row>
    <row r="115" spans="4:13" ht="12.75" customHeight="1" x14ac:dyDescent="0.2">
      <c r="D115" s="232" t="str">
        <f>INDEX(CNTR_ListPurchPrecID,ROWS(D$114:D115))</f>
        <v>PP2</v>
      </c>
      <c r="E115" s="163" t="str">
        <f>IF(INDEX(CNTR_List_ExistPurchPrecNames,ROWS(D$114:D115))=CONST_NA,"",INDEX(CNTR_List_ExistPurchPrecNames,ROWS(D$114:D115)))</f>
        <v/>
      </c>
      <c r="F115" s="163" t="str">
        <f>IF(E115="","",INDEX(CNTR_List_ExistPurchPrec,MATCH(D115,CNTR_ListPurchPrecID,0)))</f>
        <v/>
      </c>
      <c r="G115" s="249" t="str">
        <f>IF($E115="","",INDEX(InputOutput!AJ$71:AJ$100,MATCH($E115,InputOutput!$D$71:$D$100,0)))</f>
        <v/>
      </c>
      <c r="H115" s="249" t="str">
        <f>IF($E115="","",INDEX(InputOutput!AK$71:AK$100,MATCH($E115,InputOutput!$D$71:$D$100,0)))</f>
        <v/>
      </c>
      <c r="I115" s="249" t="str">
        <f>IF($E115="","",INDEX(InputOutput!AL$71:AL$100,MATCH($E115,InputOutput!$D$71:$D$100,0)))</f>
        <v/>
      </c>
      <c r="J115" s="249" t="str">
        <f>IF($E115="","",INDEX(InputOutput!AM$71:AM$100,MATCH($E115,InputOutput!$D$71:$D$100,0)))</f>
        <v/>
      </c>
      <c r="K115" s="113"/>
      <c r="L115" s="113"/>
      <c r="M115" s="113"/>
    </row>
    <row r="116" spans="4:13" ht="12.75" customHeight="1" x14ac:dyDescent="0.2">
      <c r="D116" s="232" t="str">
        <f>INDEX(CNTR_ListPurchPrecID,ROWS(D$114:D116))</f>
        <v>PP3</v>
      </c>
      <c r="E116" s="163" t="str">
        <f>IF(INDEX(CNTR_List_ExistPurchPrecNames,ROWS(D$114:D116))=CONST_NA,"",INDEX(CNTR_List_ExistPurchPrecNames,ROWS(D$114:D116)))</f>
        <v/>
      </c>
      <c r="F116" s="163" t="str">
        <f t="shared" ref="F116:F133" si="24">IF(E116="","",INDEX(CNTR_List_ExistPurchPrec,MATCH(D116,CNTR_ListPurchPrecID,0)))</f>
        <v/>
      </c>
      <c r="G116" s="249" t="str">
        <f>IF($E116="","",INDEX(InputOutput!AJ$71:AJ$100,MATCH($E116,InputOutput!$D$71:$D$100,0)))</f>
        <v/>
      </c>
      <c r="H116" s="249" t="str">
        <f>IF($E116="","",INDEX(InputOutput!AK$71:AK$100,MATCH($E116,InputOutput!$D$71:$D$100,0)))</f>
        <v/>
      </c>
      <c r="I116" s="249" t="str">
        <f>IF($E116="","",INDEX(InputOutput!AL$71:AL$100,MATCH($E116,InputOutput!$D$71:$D$100,0)))</f>
        <v/>
      </c>
      <c r="J116" s="249" t="str">
        <f>IF($E116="","",INDEX(InputOutput!AM$71:AM$100,MATCH($E116,InputOutput!$D$71:$D$100,0)))</f>
        <v/>
      </c>
      <c r="K116" s="113"/>
      <c r="L116" s="113"/>
      <c r="M116" s="113"/>
    </row>
    <row r="117" spans="4:13" ht="12.75" customHeight="1" x14ac:dyDescent="0.2">
      <c r="D117" s="232" t="str">
        <f>INDEX(CNTR_ListPurchPrecID,ROWS(D$114:D117))</f>
        <v>PP4</v>
      </c>
      <c r="E117" s="163" t="str">
        <f>IF(INDEX(CNTR_List_ExistPurchPrecNames,ROWS(D$114:D117))=CONST_NA,"",INDEX(CNTR_List_ExistPurchPrecNames,ROWS(D$114:D117)))</f>
        <v/>
      </c>
      <c r="F117" s="163" t="str">
        <f t="shared" si="24"/>
        <v/>
      </c>
      <c r="G117" s="249" t="str">
        <f>IF($E117="","",INDEX(InputOutput!AJ$71:AJ$100,MATCH($E117,InputOutput!$D$71:$D$100,0)))</f>
        <v/>
      </c>
      <c r="H117" s="249" t="str">
        <f>IF($E117="","",INDEX(InputOutput!AK$71:AK$100,MATCH($E117,InputOutput!$D$71:$D$100,0)))</f>
        <v/>
      </c>
      <c r="I117" s="249" t="str">
        <f>IF($E117="","",INDEX(InputOutput!AL$71:AL$100,MATCH($E117,InputOutput!$D$71:$D$100,0)))</f>
        <v/>
      </c>
      <c r="J117" s="249" t="str">
        <f>IF($E117="","",INDEX(InputOutput!AM$71:AM$100,MATCH($E117,InputOutput!$D$71:$D$100,0)))</f>
        <v/>
      </c>
      <c r="K117" s="113"/>
      <c r="L117" s="113"/>
      <c r="M117" s="113"/>
    </row>
    <row r="118" spans="4:13" ht="12.75" customHeight="1" x14ac:dyDescent="0.2">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x14ac:dyDescent="0.2">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x14ac:dyDescent="0.2">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x14ac:dyDescent="0.2">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x14ac:dyDescent="0.2">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x14ac:dyDescent="0.2">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x14ac:dyDescent="0.2">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x14ac:dyDescent="0.2">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x14ac:dyDescent="0.2">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x14ac:dyDescent="0.2">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x14ac:dyDescent="0.2">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x14ac:dyDescent="0.2">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x14ac:dyDescent="0.2">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x14ac:dyDescent="0.2">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x14ac:dyDescent="0.2">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x14ac:dyDescent="0.2">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x14ac:dyDescent="0.25"/>
    <row r="135" spans="1:22" ht="18" customHeight="1" x14ac:dyDescent="0.25">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x14ac:dyDescent="0.25"/>
    <row r="137" spans="1:22" ht="12.75" customHeight="1" x14ac:dyDescent="0.25">
      <c r="D137" s="131" t="str">
        <f>Translations!$B$567</f>
        <v>The following abbreviations are used in the tables below:</v>
      </c>
      <c r="E137" s="244"/>
      <c r="F137" s="244"/>
      <c r="G137" s="244"/>
      <c r="H137" s="244"/>
      <c r="I137" s="244"/>
      <c r="J137" s="244"/>
      <c r="K137" s="244"/>
      <c r="L137" s="244"/>
    </row>
    <row r="138" spans="1:22" ht="12.75" customHeight="1" x14ac:dyDescent="0.25">
      <c r="C138" s="229"/>
      <c r="D138" s="1266" t="str">
        <f>Translations!$B$581</f>
        <v>General aspects</v>
      </c>
      <c r="E138" s="1267"/>
      <c r="F138" s="1184" t="str">
        <f>Translations!$B$582</f>
        <v xml:space="preserve">The term 'specific' of all elements below is to be understood as being expressed per unit of good (usually tonnes) of the production process in consideration. </v>
      </c>
      <c r="G138" s="1184"/>
      <c r="H138" s="1184"/>
      <c r="I138" s="1184"/>
      <c r="J138" s="1184"/>
      <c r="K138" s="1184"/>
      <c r="L138" s="1184"/>
      <c r="M138" s="1184"/>
      <c r="N138" s="1184"/>
      <c r="O138" s="1184"/>
      <c r="P138" s="1184"/>
      <c r="Q138" s="1184"/>
      <c r="R138" s="1184"/>
      <c r="S138" s="1184"/>
    </row>
    <row r="139" spans="1:22" ht="25.5" customHeight="1" x14ac:dyDescent="0.25">
      <c r="C139" s="229"/>
      <c r="D139" s="1225"/>
      <c r="E139" s="1268"/>
      <c r="F139" s="1186"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7"/>
      <c r="H139" s="1187"/>
      <c r="I139" s="1187"/>
      <c r="J139" s="1187"/>
      <c r="K139" s="1187"/>
      <c r="L139" s="1187"/>
      <c r="M139" s="1187"/>
      <c r="N139" s="1187"/>
      <c r="O139" s="1187"/>
      <c r="P139" s="1187"/>
      <c r="Q139" s="1187"/>
      <c r="R139" s="1187"/>
      <c r="S139" s="1187"/>
    </row>
    <row r="140" spans="1:22" ht="12.75" customHeight="1" x14ac:dyDescent="0.25">
      <c r="C140" s="229"/>
      <c r="D140" s="1186" t="str">
        <f>Translations!$B$584</f>
        <v>Mass share</v>
      </c>
      <c r="E140" s="1187"/>
      <c r="F140" s="1186" t="str">
        <f>Translations!$B$585</f>
        <v>This is the specific consumption of each precursor per unit of products produced by the relevant 'production process'.</v>
      </c>
      <c r="G140" s="1187"/>
      <c r="H140" s="1187"/>
      <c r="I140" s="1187"/>
      <c r="J140" s="1187"/>
      <c r="K140" s="1187"/>
      <c r="L140" s="1187"/>
      <c r="M140" s="1187"/>
      <c r="N140" s="1187"/>
      <c r="O140" s="1187"/>
      <c r="P140" s="1187"/>
      <c r="Q140" s="1187"/>
      <c r="R140" s="1187"/>
      <c r="S140" s="1187"/>
    </row>
    <row r="141" spans="1:22" ht="25.5" customHeight="1" x14ac:dyDescent="0.25">
      <c r="C141" s="229"/>
      <c r="D141" s="1186" t="str">
        <f>Translations!$B$586</f>
        <v>(Share of) Default value</v>
      </c>
      <c r="E141" s="1276"/>
      <c r="F141" s="1186"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7"/>
      <c r="H141" s="1187"/>
      <c r="I141" s="1187"/>
      <c r="J141" s="1187"/>
      <c r="K141" s="1187"/>
      <c r="L141" s="1187"/>
      <c r="M141" s="1187"/>
      <c r="N141" s="1187"/>
      <c r="O141" s="1187"/>
      <c r="P141" s="1187"/>
      <c r="Q141" s="1187"/>
      <c r="R141" s="1187"/>
      <c r="S141" s="1187"/>
    </row>
    <row r="142" spans="1:22" ht="12.75" customHeight="1" x14ac:dyDescent="0.25">
      <c r="C142" s="229"/>
      <c r="D142" s="1186" t="str">
        <f>Translations!$B$570</f>
        <v>SEE (direct)</v>
      </c>
      <c r="E142" s="1187"/>
      <c r="F142" s="1186" t="str">
        <f>Translations!$B$571</f>
        <v>Specific embedded direct emissions of the production process, i.e. including any embedded emissions from any precursors consumed in the process.</v>
      </c>
      <c r="G142" s="1187"/>
      <c r="H142" s="1187"/>
      <c r="I142" s="1187"/>
      <c r="J142" s="1187"/>
      <c r="K142" s="1187"/>
      <c r="L142" s="1187"/>
      <c r="M142" s="1187"/>
      <c r="N142" s="1187"/>
      <c r="O142" s="1187"/>
      <c r="P142" s="1187"/>
      <c r="Q142" s="1187"/>
      <c r="R142" s="1187"/>
      <c r="S142" s="1187"/>
    </row>
    <row r="143" spans="1:22" ht="12.75" customHeight="1" x14ac:dyDescent="0.25">
      <c r="C143" s="229"/>
      <c r="D143" s="1186" t="str">
        <f>Translations!$B$574</f>
        <v>SEE (indirect)</v>
      </c>
      <c r="E143" s="1187"/>
      <c r="F143" s="1186" t="str">
        <f>Translations!$B$575</f>
        <v>Specific embedded indirect emissions of the production process, i.e. including any embedded indirect emissions from any precursors consumed in the process.</v>
      </c>
      <c r="G143" s="1187"/>
      <c r="H143" s="1187"/>
      <c r="I143" s="1187"/>
      <c r="J143" s="1187"/>
      <c r="K143" s="1187"/>
      <c r="L143" s="1187"/>
      <c r="M143" s="1187"/>
      <c r="N143" s="1187"/>
      <c r="O143" s="1187"/>
      <c r="P143" s="1187"/>
      <c r="Q143" s="1187"/>
      <c r="R143" s="1187"/>
      <c r="S143" s="1187"/>
    </row>
    <row r="144" spans="1:22" ht="12.75" customHeight="1" x14ac:dyDescent="0.25">
      <c r="C144" s="229"/>
      <c r="D144" s="1186" t="str">
        <f>Translations!$B$344</f>
        <v>SEE (total)</v>
      </c>
      <c r="E144" s="1187"/>
      <c r="F144" s="1186" t="str">
        <f>Translations!$B$588</f>
        <v>Total (direct + indirect) specific embedded emissions of the production process, i.e. including any embedded indirect emissions from any precursors consumed in the process.</v>
      </c>
      <c r="G144" s="1187"/>
      <c r="H144" s="1187"/>
      <c r="I144" s="1187"/>
      <c r="J144" s="1187"/>
      <c r="K144" s="1187"/>
      <c r="L144" s="1187"/>
      <c r="M144" s="1187"/>
      <c r="N144" s="1187"/>
      <c r="O144" s="1187"/>
      <c r="P144" s="1187"/>
      <c r="Q144" s="1187"/>
      <c r="R144" s="1187"/>
      <c r="S144" s="1187"/>
    </row>
    <row r="145" spans="1:41" ht="12.75" customHeight="1" x14ac:dyDescent="0.25">
      <c r="C145" s="229"/>
      <c r="D145" s="1186" t="str">
        <f>Translations!$B$589</f>
        <v>EmbEm (direct)</v>
      </c>
      <c r="E145" s="1187"/>
      <c r="F145" s="1186" t="str">
        <f>Translations!$B$590</f>
        <v>Embedded direct emissions of the production process, i.e. including any embedded emissions from any precursors consumed in the process.</v>
      </c>
      <c r="G145" s="1187"/>
      <c r="H145" s="1187"/>
      <c r="I145" s="1187"/>
      <c r="J145" s="1187"/>
      <c r="K145" s="1187"/>
      <c r="L145" s="1187"/>
      <c r="M145" s="1187"/>
      <c r="N145" s="1187"/>
      <c r="O145" s="1187"/>
      <c r="P145" s="1187"/>
      <c r="Q145" s="1187"/>
      <c r="R145" s="1187"/>
      <c r="S145" s="1187"/>
    </row>
    <row r="146" spans="1:41" ht="12.75" customHeight="1" x14ac:dyDescent="0.25">
      <c r="C146" s="229"/>
      <c r="D146" s="1186" t="str">
        <f>Translations!$B$591</f>
        <v>EmbEm (indirect)</v>
      </c>
      <c r="E146" s="1187"/>
      <c r="F146" s="1186" t="str">
        <f>Translations!$B$592</f>
        <v>Embedded indirect emissions of the production process, i.e. including any embedded indirect emissions from any precursors consumed in the process.</v>
      </c>
      <c r="G146" s="1187"/>
      <c r="H146" s="1187"/>
      <c r="I146" s="1187"/>
      <c r="J146" s="1187"/>
      <c r="K146" s="1187"/>
      <c r="L146" s="1187"/>
      <c r="M146" s="1187"/>
      <c r="N146" s="1187"/>
      <c r="O146" s="1187"/>
      <c r="P146" s="1187"/>
      <c r="Q146" s="1187"/>
      <c r="R146" s="1187"/>
      <c r="S146" s="1187"/>
    </row>
    <row r="147" spans="1:41" ht="12.75" customHeight="1" x14ac:dyDescent="0.25">
      <c r="C147" s="229"/>
      <c r="D147" s="1186" t="str">
        <f>Translations!$B$593</f>
        <v>EmbEm (total)</v>
      </c>
      <c r="E147" s="1187"/>
      <c r="F147" s="1186" t="str">
        <f>Translations!$B$588</f>
        <v>Total (direct + indirect) specific embedded emissions of the production process, i.e. including any embedded indirect emissions from any precursors consumed in the process.</v>
      </c>
      <c r="G147" s="1187"/>
      <c r="H147" s="1187"/>
      <c r="I147" s="1187"/>
      <c r="J147" s="1187"/>
      <c r="K147" s="1187"/>
      <c r="L147" s="1187"/>
      <c r="M147" s="1187"/>
      <c r="N147" s="1187"/>
      <c r="O147" s="1187"/>
      <c r="P147" s="1187"/>
      <c r="Q147" s="1187"/>
      <c r="R147" s="1187"/>
      <c r="S147" s="1187"/>
    </row>
    <row r="148" spans="1:41" ht="12.75" customHeight="1" x14ac:dyDescent="0.25">
      <c r="C148" s="229"/>
      <c r="D148" s="1186" t="str">
        <f>Translations!$B$594</f>
        <v>Source of electricity EF</v>
      </c>
      <c r="E148" s="1187"/>
      <c r="F148" s="1186" t="str">
        <f>Translations!$B$595</f>
        <v>The source or method based on which the electricity emission factor (EF) was determined for the relevant production process or precursor.</v>
      </c>
      <c r="G148" s="1187"/>
      <c r="H148" s="1187"/>
      <c r="I148" s="1187"/>
      <c r="J148" s="1187"/>
      <c r="K148" s="1187"/>
      <c r="L148" s="1187"/>
      <c r="M148" s="1187"/>
      <c r="N148" s="1187"/>
      <c r="O148" s="1187"/>
      <c r="P148" s="1187"/>
      <c r="Q148" s="1187"/>
      <c r="R148" s="1187"/>
      <c r="S148" s="1187"/>
    </row>
    <row r="149" spans="1:41" ht="12.75" customHeight="1" x14ac:dyDescent="0.25">
      <c r="C149" s="229"/>
      <c r="D149" s="1258" t="s">
        <v>1349</v>
      </c>
      <c r="E149" s="1259"/>
      <c r="F149" s="1186" t="str">
        <f>Translations!$B$456</f>
        <v xml:space="preserve">CO2 emission factor based on specific default values  </v>
      </c>
      <c r="G149" s="1187"/>
      <c r="H149" s="1187"/>
      <c r="I149" s="1187"/>
      <c r="J149" s="1187"/>
      <c r="K149" s="1187"/>
      <c r="L149" s="1187"/>
      <c r="M149" s="1187"/>
      <c r="N149" s="1187"/>
      <c r="O149" s="1187"/>
      <c r="P149" s="1187"/>
      <c r="Q149" s="1187"/>
      <c r="R149" s="1187"/>
      <c r="S149" s="1187"/>
    </row>
    <row r="150" spans="1:41" ht="12.75" customHeight="1" x14ac:dyDescent="0.25">
      <c r="C150" s="229"/>
      <c r="D150" s="1260" t="s">
        <v>1350</v>
      </c>
      <c r="E150" s="1261"/>
      <c r="F150" s="1186" t="str">
        <f>Translations!$B$457</f>
        <v xml:space="preserve">CO2 emission factor based on alternative default value </v>
      </c>
      <c r="G150" s="1187"/>
      <c r="H150" s="1187"/>
      <c r="I150" s="1187"/>
      <c r="J150" s="1187"/>
      <c r="K150" s="1187"/>
      <c r="L150" s="1187"/>
      <c r="M150" s="1187"/>
      <c r="N150" s="1187"/>
      <c r="O150" s="1187"/>
      <c r="P150" s="1187"/>
      <c r="Q150" s="1187"/>
      <c r="R150" s="1187"/>
      <c r="S150" s="1187"/>
    </row>
    <row r="151" spans="1:41" ht="12.75" customHeight="1" x14ac:dyDescent="0.25">
      <c r="C151" s="229"/>
      <c r="D151" s="1260" t="s">
        <v>1351</v>
      </c>
      <c r="E151" s="1261"/>
      <c r="F151" s="1186" t="str">
        <f>Translations!$B$458</f>
        <v>CO2 emission factor based on reliable data demonstrated by the importer</v>
      </c>
      <c r="G151" s="1187"/>
      <c r="H151" s="1187"/>
      <c r="I151" s="1187"/>
      <c r="J151" s="1187"/>
      <c r="K151" s="1187"/>
      <c r="L151" s="1187"/>
      <c r="M151" s="1187"/>
      <c r="N151" s="1187"/>
      <c r="O151" s="1187"/>
      <c r="P151" s="1187"/>
      <c r="Q151" s="1187"/>
      <c r="R151" s="1187"/>
      <c r="S151" s="1187"/>
    </row>
    <row r="152" spans="1:41" ht="12.75" customHeight="1" x14ac:dyDescent="0.25">
      <c r="C152" s="229"/>
      <c r="D152" s="1260" t="s">
        <v>1352</v>
      </c>
      <c r="E152" s="1261"/>
      <c r="F152" s="1186" t="str">
        <f>Translations!$B$459</f>
        <v xml:space="preserve">CO2 emission factor based on actual CO2 emissions of the installation </v>
      </c>
      <c r="G152" s="1187"/>
      <c r="H152" s="1187"/>
      <c r="I152" s="1187"/>
      <c r="J152" s="1187"/>
      <c r="K152" s="1187"/>
      <c r="L152" s="1187"/>
      <c r="M152" s="1187"/>
      <c r="N152" s="1187"/>
      <c r="O152" s="1187"/>
      <c r="P152" s="1187"/>
      <c r="Q152" s="1187"/>
      <c r="R152" s="1187"/>
      <c r="S152" s="1187"/>
    </row>
    <row r="153" spans="1:41" ht="12.75" customHeight="1" x14ac:dyDescent="0.25">
      <c r="C153" s="229"/>
      <c r="D153" s="1262" t="str">
        <f>Translations!$B$460</f>
        <v>Mix</v>
      </c>
      <c r="E153" s="1263"/>
      <c r="F153" s="1186" t="str">
        <f>Translations!$B$596</f>
        <v>Where the electricity is not predominantly obtained from one source or the EF by one of the above sources, the EF is determined as a mix of the methods above.</v>
      </c>
      <c r="G153" s="1187"/>
      <c r="H153" s="1187"/>
      <c r="I153" s="1187"/>
      <c r="J153" s="1187"/>
      <c r="K153" s="1187"/>
      <c r="L153" s="1187"/>
      <c r="M153" s="1187"/>
      <c r="N153" s="1187"/>
      <c r="O153" s="1187"/>
      <c r="P153" s="1187"/>
      <c r="Q153" s="1187"/>
      <c r="R153" s="1187"/>
      <c r="S153" s="1187"/>
    </row>
    <row r="154" spans="1:41" ht="12.75" customHeight="1" x14ac:dyDescent="0.25">
      <c r="C154" s="229"/>
      <c r="D154" s="1186" t="str">
        <f>Translations!$B$597</f>
        <v>Specific electricity</v>
      </c>
      <c r="E154" s="1187"/>
      <c r="F154" s="1186" t="str">
        <f>Translations!$B$598</f>
        <v>Specific electricity consumption within the production process, excluding any electricity embedded in purchased precursors.</v>
      </c>
      <c r="G154" s="1187"/>
      <c r="H154" s="1187"/>
      <c r="I154" s="1187"/>
      <c r="J154" s="1187"/>
      <c r="K154" s="1187"/>
      <c r="L154" s="1187"/>
      <c r="M154" s="1187"/>
      <c r="N154" s="1187"/>
      <c r="O154" s="1187"/>
      <c r="P154" s="1187"/>
      <c r="Q154" s="1187"/>
      <c r="R154" s="1187"/>
      <c r="S154" s="1187"/>
    </row>
    <row r="155" spans="1:41" ht="12.75" customHeight="1" x14ac:dyDescent="0.25">
      <c r="C155" s="229"/>
      <c r="D155" s="1186" t="s">
        <v>1295</v>
      </c>
      <c r="E155" s="1187"/>
      <c r="F155" s="1186" t="str">
        <f>Translations!$B$599</f>
        <v>This is the country in which the relevant precursor is produced, where imported from outside the own installation.</v>
      </c>
      <c r="G155" s="1187"/>
      <c r="H155" s="1187"/>
      <c r="I155" s="1187"/>
      <c r="J155" s="1187"/>
      <c r="K155" s="1187"/>
      <c r="L155" s="1187"/>
      <c r="M155" s="1187"/>
      <c r="N155" s="1187"/>
      <c r="O155" s="1187"/>
      <c r="P155" s="1187"/>
      <c r="Q155" s="1187"/>
      <c r="R155" s="1187"/>
      <c r="S155" s="1187"/>
    </row>
    <row r="156" spans="1:41" ht="12.75" customHeight="1" x14ac:dyDescent="0.25">
      <c r="C156" s="229"/>
      <c r="D156" s="1186" t="str">
        <f>Translations!$B$351</f>
        <v>CP due (per t or MWh)</v>
      </c>
      <c r="E156" s="1187"/>
      <c r="F156" s="1186" t="str">
        <f>Translations!$B$1870</f>
        <v>This information is taken from the "tool to calculate the carbon price due" in sheet "F_Tools", where relevant.</v>
      </c>
      <c r="G156" s="1187"/>
      <c r="H156" s="1187"/>
      <c r="I156" s="1187"/>
      <c r="J156" s="1187"/>
      <c r="K156" s="1187"/>
      <c r="L156" s="1187"/>
      <c r="M156" s="1187"/>
      <c r="N156" s="1187"/>
      <c r="O156" s="1187"/>
      <c r="P156" s="1187"/>
      <c r="Q156" s="1187"/>
      <c r="R156" s="1187"/>
      <c r="S156" s="1187"/>
    </row>
    <row r="157" spans="1:41" ht="12.75" customHeight="1" x14ac:dyDescent="0.25">
      <c r="C157" s="229"/>
      <c r="D157" s="1188" t="str">
        <f>Translations!$B$352</f>
        <v>Rebate (per t or MWh)</v>
      </c>
      <c r="E157" s="1275"/>
      <c r="F157" s="1264" t="str">
        <f>Translations!$B$1870</f>
        <v>This information is taken from the "tool to calculate the carbon price due" in sheet "F_Tools", where relevant.</v>
      </c>
      <c r="G157" s="1189"/>
      <c r="H157" s="1189"/>
      <c r="I157" s="1189"/>
      <c r="J157" s="1189"/>
      <c r="K157" s="1189"/>
      <c r="L157" s="1189"/>
      <c r="M157" s="1189"/>
      <c r="N157" s="1189"/>
      <c r="O157" s="1189"/>
      <c r="P157" s="1189"/>
      <c r="Q157" s="1189"/>
      <c r="R157" s="1189"/>
      <c r="S157" s="1189"/>
    </row>
    <row r="158" spans="1:41" ht="12.75" customHeight="1" thickBot="1" x14ac:dyDescent="0.3"/>
    <row r="159" spans="1:41" s="252" customFormat="1" ht="25.5" customHeight="1" x14ac:dyDescent="0.25">
      <c r="A159" s="251"/>
      <c r="C159" s="1239">
        <v>1</v>
      </c>
      <c r="D159" s="1246" t="str">
        <f>IF(INDEX(CNTR_List_ExistProdProcNames,C159)=CONST_NA,"",INDEX(CNTR_List_ExistProdProcNames,C159))</f>
        <v/>
      </c>
      <c r="E159" s="1247"/>
      <c r="F159" s="1250" t="str">
        <f>Translations!$B$107</f>
        <v>Aggregated goods category</v>
      </c>
      <c r="G159" s="253" t="str">
        <f>Translations!$B$584</f>
        <v>Mass share</v>
      </c>
      <c r="H159" s="1252"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52" t="str">
        <f>Translations!$B$594</f>
        <v>Source of electricity EF</v>
      </c>
      <c r="P159" s="253" t="str">
        <f>Translations!$B$597</f>
        <v>Specific electricity</v>
      </c>
      <c r="Q159" s="1237" t="s">
        <v>1295</v>
      </c>
      <c r="R159" s="1271" t="str">
        <f>Translations!$B$351</f>
        <v>CP due (per t or MWh)</v>
      </c>
      <c r="S159" s="1273" t="str">
        <f>Translations!$B$352</f>
        <v>Rebate (per t or MWh)</v>
      </c>
      <c r="T159" s="442"/>
      <c r="U159" s="91"/>
      <c r="V159" s="251"/>
      <c r="W159" s="251"/>
      <c r="X159" s="89"/>
      <c r="Y159" s="251"/>
      <c r="Z159" s="126"/>
      <c r="AA159" s="251"/>
      <c r="AB159" s="251"/>
      <c r="AC159" s="251"/>
      <c r="AD159" s="251"/>
      <c r="AE159" s="251"/>
      <c r="AF159" s="104" t="str">
        <f>H159</f>
        <v>(Share of) Default value</v>
      </c>
      <c r="AG159" s="824" t="str">
        <f>H161</f>
        <v/>
      </c>
      <c r="AH159" s="89"/>
      <c r="AI159" s="89"/>
      <c r="AJ159" s="89"/>
      <c r="AK159" s="89"/>
      <c r="AL159" s="89"/>
      <c r="AM159" s="89"/>
      <c r="AN159" s="89"/>
      <c r="AO159" s="89"/>
    </row>
    <row r="160" spans="1:41" s="252" customFormat="1" ht="15" customHeight="1" thickBot="1" x14ac:dyDescent="0.3">
      <c r="A160" s="251"/>
      <c r="C160" s="1240"/>
      <c r="D160" s="1248"/>
      <c r="E160" s="1249"/>
      <c r="F160" s="1251"/>
      <c r="G160" s="254" t="str">
        <f>IF($F161="",CONST_t,INDEX(CONST_LIST_GoodsUnit,MATCH($F161,CONST_LIST_Goods,0))) &amp;"/"&amp; IF($F161="",CONST_t,INDEX(CONST_LIST_GoodsUnit,MATCH($F161,CONST_LIST_Goods,0)))</f>
        <v>t/t</v>
      </c>
      <c r="H160" s="1253"/>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53"/>
      <c r="P160" s="254" t="str">
        <f>CONST_MWh &amp; "/" &amp; IF($F161="",CONST_t,INDEX(CONST_LIST_GoodsUnit,MATCH($F161,CONST_LIST_Goods,0)))</f>
        <v>MWh/t</v>
      </c>
      <c r="Q160" s="1238"/>
      <c r="R160" s="1272"/>
      <c r="S160" s="1274"/>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x14ac:dyDescent="0.3">
      <c r="C161" s="1241"/>
      <c r="D161" s="1254" t="str">
        <f>Translations!$B$600</f>
        <v>Total production process</v>
      </c>
      <c r="E161" s="1255"/>
      <c r="F161" s="256" t="str">
        <f>IF(D162="","",INDEX(CNTR_List_ExistProdProc,MATCH(D162,CNTR_List_ExistProdProcNames,0)))</f>
        <v/>
      </c>
      <c r="G161" s="257" t="s">
        <v>1329</v>
      </c>
      <c r="H161" s="805" t="str">
        <f>IF(D159="","",IFERROR(SUMIFS(I163:I192,H163:H192,TRUE)/I161,""))</f>
        <v/>
      </c>
      <c r="I161" s="795" t="str">
        <f>IF(COUNT(I162:I192)&gt;0,SUM(I162:I192),"")</f>
        <v/>
      </c>
      <c r="J161" s="795" t="str">
        <f>IF(COUNT(J162:J192)&gt;0,SUM(J162:J192),"")</f>
        <v/>
      </c>
      <c r="K161" s="795" t="str">
        <f t="shared" ref="K161:S161" si="25">IF(COUNT(K162:K192)&gt;0,SUM(K162:K192),"")</f>
        <v/>
      </c>
      <c r="L161" s="258" t="str">
        <f t="shared" si="25"/>
        <v/>
      </c>
      <c r="M161" s="258" t="str">
        <f>IF(COUNT(M162:M192)&gt;0,SUM(M162:M192),"")</f>
        <v/>
      </c>
      <c r="N161" s="258" t="str">
        <f t="shared" si="25"/>
        <v/>
      </c>
      <c r="O161" s="257" t="s">
        <v>1329</v>
      </c>
      <c r="P161" s="795" t="str">
        <f t="shared" si="25"/>
        <v/>
      </c>
      <c r="Q161" s="810" t="s">
        <v>1329</v>
      </c>
      <c r="R161" s="815" t="str">
        <f t="shared" si="25"/>
        <v/>
      </c>
      <c r="S161" s="806" t="str">
        <f t="shared" si="25"/>
        <v/>
      </c>
      <c r="Z161" s="126"/>
      <c r="AD161" s="89" t="str">
        <f>Translations!$B$601</f>
        <v>Production and consumption</v>
      </c>
      <c r="AE161" s="89" t="str">
        <f>Translations!$B$602</f>
        <v>Total production of precursors</v>
      </c>
      <c r="AG161" s="89" t="s">
        <v>1355</v>
      </c>
    </row>
    <row r="162" spans="3:33" ht="12.75" customHeight="1" thickBot="1" x14ac:dyDescent="0.3">
      <c r="D162" s="1269" t="str">
        <f>D159</f>
        <v/>
      </c>
      <c r="E162" s="1270"/>
      <c r="F162" s="286" t="str">
        <f>IF(D162="","",INDEX(CNTR_List_ExistProdProc,MATCH(D162,CNTR_List_ExistProdProcNames,0)))</f>
        <v/>
      </c>
      <c r="G162" s="259">
        <v>1</v>
      </c>
      <c r="H162" s="287" t="s">
        <v>1329</v>
      </c>
      <c r="I162" s="796" t="str">
        <f>IF($D162="","",SUM($G162)*SUM(INDEX(InputOutput!$AJ$71:$AJ$100,MATCH($D162,InputOutput!$D$71:$D$100,0))))</f>
        <v/>
      </c>
      <c r="J162" s="796" t="str">
        <f>IF($D162="","",SUM($G162)*SUM(INDEX(InputOutput!$AL$71:$AL$100,MATCH($D162,InputOutput!$D$71:$D$100,0))))</f>
        <v/>
      </c>
      <c r="K162" s="796" t="str">
        <f t="shared" ref="K162:K167" si="26">IF(COUNT(I162:J162)&gt;0,SUM(I162:J162),"")</f>
        <v/>
      </c>
      <c r="L162" s="260" t="str">
        <f>IF(D162="","",SUM(I162)*SUM(AD162))</f>
        <v/>
      </c>
      <c r="M162" s="260" t="str">
        <f>IF(D162="","",SUM(J162)*SUM(AD162))</f>
        <v/>
      </c>
      <c r="N162" s="260" t="str">
        <f t="shared" ref="N162:N167" si="27">IF(COUNT(L162:M162)&gt;0,SUM(L162:M162),"")</f>
        <v/>
      </c>
      <c r="O162" s="260" t="str">
        <f>IF(AG162,INDEX(E_PurchPrec!U:U,MATCH(CONST_CNTR_ElecEFMethod&amp;D162,E_PurchPrec!R:R,0)),INDEX(D_Processes!T:T,MATCH(CONST_CNTR_ElecEFMethod&amp;D162,D_Processes!R:R,0)))</f>
        <v/>
      </c>
      <c r="P162" s="796" t="str">
        <f>IF(OR($D162="",$AG162),"",SUM($G162)*SUM(INDEX(InputOutput!$AN$71:$AN$100,MATCH($D162,InputOutput!$D$71:$D$100,0))))</f>
        <v/>
      </c>
      <c r="Q162" s="811"/>
      <c r="R162" s="816" t="str">
        <f>IF($D162="","",IFERROR(SUM($G162)*SUM(INDEX(F_Tools!$T$100:$T$129,MATCH($D162,F_Tools!$E$100:$E$129,0)))/K161,""))</f>
        <v/>
      </c>
      <c r="S162" s="807" t="str">
        <f>IF($D162="","",IFERROR(SUM($G162)*SUM(INDEX(F_Tools!$U$100:$U$129,MATCH($D162,F_Tools!$E$100:$E$129,0)))/K161,""))</f>
        <v/>
      </c>
      <c r="Z162" s="126"/>
      <c r="AB162" s="155" t="str">
        <f>CONST_CNTR_TotProd &amp; D159</f>
        <v>TotProd_</v>
      </c>
      <c r="AD162" s="261">
        <f>SUMIF(D_Processes!R:R,AB162,D_Processes!L:L)</f>
        <v>0</v>
      </c>
    </row>
    <row r="163" spans="3:33" ht="12.75" customHeight="1" x14ac:dyDescent="0.25">
      <c r="C163" s="262">
        <v>1</v>
      </c>
      <c r="D163" s="1242" t="str">
        <f>IF(D159="","",IF(COUNTIF(INDEX(CNTR_IOSupplyChain,MATCH(D159,CNTR_IOProcAndPrec,0),),C163)=0,"",INDEX(CNTR_IOProcAndPrec,MATCH(C163,INDEX(CNTR_IOSupplyChain,MATCH(D159,CNTR_IOProcAndPrec,0),),0))))</f>
        <v/>
      </c>
      <c r="E163" s="1243"/>
      <c r="F163" s="263" t="str">
        <f t="shared" ref="F163:F192" si="28">IF(D163="","",IF(COUNTIF(CNTR_List_ExistProdProcNames,D163)&gt;0,INDEX(CNTR_List_ExistProdProc,MATCH(D163,CNTR_List_ExistProdProcNames,0)),INDEX(CNTR_List_ExistPurchPrec,MATCH(D163,CNTR_List_ExistPurchPrecNames,0))))</f>
        <v/>
      </c>
      <c r="G163" s="264" t="str">
        <f>IF(D163="","",INDEX(CNTR_Matrix_Inv,MATCH(D159,CNTR_IOProcAndPrec,0),MATCH(D163,CNTR_IOProcAndPrec,0)))</f>
        <v/>
      </c>
      <c r="H163" s="288" t="str">
        <f>IF(D163="","",IF(AG163,INDEX(E_PurchPrec!U:U,MATCH(CONST_PurchPrecDefaultUsed&amp;D163,E_PurchPrec!R:R,0)),CONST_NA))</f>
        <v/>
      </c>
      <c r="I163" s="264" t="str">
        <f>IF($D163="","",SUM($G163)*SUM(INDEX(InputOutput!$AJ$71:$AJ$100,MATCH($D163,InputOutput!$D$71:$D$100,0))))</f>
        <v/>
      </c>
      <c r="J163" s="264" t="str">
        <f>IF($D163="","",SUM($G163)*SUM(INDEX(InputOutput!$AL$71:$AL$100,MATCH($D163,InputOutput!$D$71:$D$100,0))))</f>
        <v/>
      </c>
      <c r="K163" s="264" t="str">
        <f t="shared" si="26"/>
        <v/>
      </c>
      <c r="L163" s="265" t="str">
        <f>IF(D163="","",SUM(I163)*SUM(AD162))</f>
        <v/>
      </c>
      <c r="M163" s="265" t="str">
        <f>IF(D163="","",SUM(J163)*SUM(AD162))</f>
        <v/>
      </c>
      <c r="N163" s="265" t="str">
        <f t="shared" si="27"/>
        <v/>
      </c>
      <c r="O163" s="265" t="str">
        <f>IF(AG163,INDEX(E_PurchPrec!U:U,MATCH(CONST_CNTR_ElecEFMethod&amp;D163,E_PurchPrec!R:R,0)),INDEX(D_Processes!T:T,MATCH(CONST_CNTR_ElecEFMethod&amp;D163,D_Processes!R:R,0)))</f>
        <v/>
      </c>
      <c r="P163" s="828"/>
      <c r="Q163" s="812" t="str">
        <f>IF(D163="","",IF(AG163,INDEX(A_InstData!$F$101:$F$120,MATCH(D163,CNTR_List_ExistPurchPrecNames,0)),""))</f>
        <v/>
      </c>
      <c r="R163" s="817" t="str">
        <f>IF($D163="","",SUM($G163)*SUM(INDEX(F_Tools!$T$100:$T$129,MATCH($D163,F_Tools!$E$100:$E$129,0))))</f>
        <v/>
      </c>
      <c r="S163" s="808" t="str">
        <f>IF($D163="","",SUM($G163)*SUM(INDEX(F_Tools!$U$100:$U$129,MATCH($D163,F_Tools!$E$100:$E$129,0))))</f>
        <v/>
      </c>
      <c r="Z163" s="126"/>
      <c r="AB163" s="266" t="str">
        <f>CONST_PrecursorToGoodInput &amp; D163 &amp; "_" &amp; D159</f>
        <v>PrecToGood__</v>
      </c>
      <c r="AD163" s="267">
        <f>SUMIF(D_Processes!R:R,AB163,D_Processes!K:K)</f>
        <v>0</v>
      </c>
      <c r="AE163" s="266">
        <f>SUMIF(D_Processes!R:R,CONST_CNTR_TotProd &amp; D163,D_Processes!L:L)</f>
        <v>0</v>
      </c>
      <c r="AG163" s="102" t="b">
        <f t="shared" ref="AG163:AG192" si="29">COUNTIF(CNTR_List_ExistPurchPrecNames,D163)&gt;0</f>
        <v>0</v>
      </c>
    </row>
    <row r="164" spans="3:33" ht="12.75" customHeight="1" x14ac:dyDescent="0.25">
      <c r="C164" s="262">
        <v>2</v>
      </c>
      <c r="D164" s="1244" t="str">
        <f>IF(D159="","",IF(COUNTIF(INDEX(CNTR_IOSupplyChain,MATCH(D159,CNTR_IOProcAndPrec,0),),C164)=0,"",INDEX(CNTR_IOProcAndPrec,MATCH(C164,INDEX(CNTR_IOSupplyChain,MATCH(D159,CNTR_IOProcAndPrec,0),),0))))</f>
        <v/>
      </c>
      <c r="E164" s="1245"/>
      <c r="F164" s="268" t="str">
        <f t="shared" si="28"/>
        <v/>
      </c>
      <c r="G164" s="269" t="str">
        <f>IF(D164="","",INDEX(CNTR_Matrix_Inv,MATCH(D159,CNTR_IOProcAndPrec,0),MATCH(D164,CNTR_IOProcAndPrec,0)))</f>
        <v/>
      </c>
      <c r="H164" s="289" t="str">
        <f>IF(D164="","",IF(AG164,INDEX(E_PurchPrec!U:U,MATCH(CONST_PurchPrecDefaultUsed&amp;D164,E_PurchPrec!R:R,0)),CONST_NA))</f>
        <v/>
      </c>
      <c r="I164" s="269" t="str">
        <f>IF($D164="","",SUM($G164)*SUM(INDEX(InputOutput!$AJ$71:$AJ$100,MATCH($D164,InputOutput!$D$71:$D$100,0))))</f>
        <v/>
      </c>
      <c r="J164" s="269" t="str">
        <f>IF($D164="","",SUM($G164)*SUM(INDEX(InputOutput!$AL$71:$AL$100,MATCH($D164,InputOutput!$D$71:$D$100,0))))</f>
        <v/>
      </c>
      <c r="K164" s="269" t="str">
        <f t="shared" si="26"/>
        <v/>
      </c>
      <c r="L164" s="270" t="str">
        <f>IF(D164="","",SUM(I164)*SUM(AD162))</f>
        <v/>
      </c>
      <c r="M164" s="270" t="str">
        <f>IF(D164="","",SUM(J164)*SUM(AD162))</f>
        <v/>
      </c>
      <c r="N164" s="270" t="str">
        <f t="shared" si="27"/>
        <v/>
      </c>
      <c r="O164" s="270" t="str">
        <f>IF(AG164,INDEX(E_PurchPrec!U:U,MATCH(CONST_CNTR_ElecEFMethod&amp;D164,E_PurchPrec!R:R,0)),INDEX(D_Processes!T:T,MATCH(CONST_CNTR_ElecEFMethod&amp;D164,D_Processes!R:R,0)))</f>
        <v/>
      </c>
      <c r="P164" s="829"/>
      <c r="Q164" s="813" t="str">
        <f>IF(D164="","",IF(AG164,INDEX(A_InstData!$F$101:$F$120,MATCH(D164,CNTR_List_ExistPurchPrecNames,0)),""))</f>
        <v/>
      </c>
      <c r="R164" s="818" t="str">
        <f>IF($D164="","",SUM($G164)*SUM(INDEX(F_Tools!$T$100:$T$129,MATCH($D164,F_Tools!$E$100:$E$129,0))))</f>
        <v/>
      </c>
      <c r="S164" s="809" t="str">
        <f>IF($D164="","",SUM($G164)*SUM(INDEX(F_Tools!$U$100:$U$129,MATCH($D164,F_Tools!$E$100:$E$129,0))))</f>
        <v/>
      </c>
      <c r="Z164" s="126"/>
      <c r="AB164" s="271" t="str">
        <f>CONST_PrecursorToGoodInput &amp; D164 &amp; "_" &amp; D159</f>
        <v>PrecToGood__</v>
      </c>
      <c r="AD164" s="272">
        <f>SUMIF(D_Processes!R:R,AB164,D_Processes!K:K)</f>
        <v>0</v>
      </c>
      <c r="AE164" s="271">
        <f>SUMIF(D_Processes!R:R,CONST_CNTR_TotProd &amp; D164,D_Processes!L:L)</f>
        <v>0</v>
      </c>
      <c r="AG164" s="102" t="b">
        <f t="shared" si="29"/>
        <v>0</v>
      </c>
    </row>
    <row r="165" spans="3:33" ht="12.75" customHeight="1" x14ac:dyDescent="0.25">
      <c r="C165" s="262">
        <v>3</v>
      </c>
      <c r="D165" s="1244" t="str">
        <f>IF(D159="","",IF(COUNTIF(INDEX(CNTR_IOSupplyChain,MATCH(D159,CNTR_IOProcAndPrec,0),),C165)=0,"",INDEX(CNTR_IOProcAndPrec,MATCH(C165,INDEX(CNTR_IOSupplyChain,MATCH(D159,CNTR_IOProcAndPrec,0),),0))))</f>
        <v/>
      </c>
      <c r="E165" s="1245"/>
      <c r="F165" s="268" t="str">
        <f t="shared" si="28"/>
        <v/>
      </c>
      <c r="G165" s="269" t="str">
        <f>IF(D165="","",INDEX(CNTR_Matrix_Inv,MATCH(D159,CNTR_IOProcAndPrec,0),MATCH(D165,CNTR_IOProcAndPrec,0)))</f>
        <v/>
      </c>
      <c r="H165" s="289" t="str">
        <f>IF(D165="","",IF(AG165,INDEX(E_PurchPrec!U:U,MATCH(CONST_PurchPrecDefaultUsed&amp;D165,E_PurchPrec!R:R,0)),CONST_NA))</f>
        <v/>
      </c>
      <c r="I165" s="269" t="str">
        <f>IF($D165="","",SUM($G165)*SUM(INDEX(InputOutput!$AJ$71:$AJ$100,MATCH($D165,InputOutput!$D$71:$D$100,0))))</f>
        <v/>
      </c>
      <c r="J165" s="269" t="str">
        <f>IF($D165="","",SUM($G165)*SUM(INDEX(InputOutput!$AL$71:$AL$100,MATCH($D165,InputOutput!$D$71:$D$100,0))))</f>
        <v/>
      </c>
      <c r="K165" s="797" t="str">
        <f t="shared" si="26"/>
        <v/>
      </c>
      <c r="L165" s="270" t="str">
        <f>IF(D165="","",SUM(I165)*SUM(AD162))</f>
        <v/>
      </c>
      <c r="M165" s="270" t="str">
        <f>IF(D165="","",SUM(J165)*SUM(AD162))</f>
        <v/>
      </c>
      <c r="N165" s="270" t="str">
        <f t="shared" si="27"/>
        <v/>
      </c>
      <c r="O165" s="270" t="str">
        <f>IF(AG165,INDEX(E_PurchPrec!U:U,MATCH(CONST_CNTR_ElecEFMethod&amp;D165,E_PurchPrec!R:R,0)),INDEX(D_Processes!T:T,MATCH(CONST_CNTR_ElecEFMethod&amp;D165,D_Processes!R:R,0)))</f>
        <v/>
      </c>
      <c r="P165" s="829"/>
      <c r="Q165" s="813" t="str">
        <f>IF(D165="","",IF(AG165,INDEX(A_InstData!$F$101:$F$120,MATCH(D165,CNTR_List_ExistPurchPrecNames,0)),""))</f>
        <v/>
      </c>
      <c r="R165" s="818" t="str">
        <f>IF($D165="","",SUM($G165)*SUM(INDEX(F_Tools!$T$100:$T$129,MATCH($D165,F_Tools!$E$100:$E$129,0))))</f>
        <v/>
      </c>
      <c r="S165" s="809" t="str">
        <f>IF($D165="","",SUM($G165)*SUM(INDEX(F_Tools!$U$100:$U$129,MATCH($D165,F_Tools!$E$100:$E$129,0))))</f>
        <v/>
      </c>
      <c r="Z165" s="126"/>
      <c r="AB165" s="271" t="str">
        <f>CONST_PrecursorToGoodInput &amp; D165 &amp; "_" &amp; D159</f>
        <v>PrecToGood__</v>
      </c>
      <c r="AD165" s="272">
        <f>SUMIF(D_Processes!R:R,AB165,D_Processes!K:K)</f>
        <v>0</v>
      </c>
      <c r="AE165" s="271">
        <f>SUMIF(D_Processes!R:R,CONST_CNTR_TotProd &amp; D165,D_Processes!L:L)</f>
        <v>0</v>
      </c>
      <c r="AG165" s="102" t="b">
        <f t="shared" si="29"/>
        <v>0</v>
      </c>
    </row>
    <row r="166" spans="3:33" ht="12.75" customHeight="1" x14ac:dyDescent="0.25">
      <c r="C166" s="262">
        <v>4</v>
      </c>
      <c r="D166" s="1244" t="str">
        <f>IF(D159="","",IF(COUNTIF(INDEX(CNTR_IOSupplyChain,MATCH(D159,CNTR_IOProcAndPrec,0),),C166)=0,"",INDEX(CNTR_IOProcAndPrec,MATCH(C166,INDEX(CNTR_IOSupplyChain,MATCH(D159,CNTR_IOProcAndPrec,0),),0))))</f>
        <v/>
      </c>
      <c r="E166" s="1245"/>
      <c r="F166" s="268" t="str">
        <f t="shared" si="28"/>
        <v/>
      </c>
      <c r="G166" s="269" t="str">
        <f>IF(D166="","",INDEX(CNTR_Matrix_Inv,MATCH(D159,CNTR_IOProcAndPrec,0),MATCH(D166,CNTR_IOProcAndPrec,0)))</f>
        <v/>
      </c>
      <c r="H166" s="289" t="str">
        <f>IF(D166="","",IF(AG166,INDEX(E_PurchPrec!U:U,MATCH(CONST_PurchPrecDefaultUsed&amp;D166,E_PurchPrec!R:R,0)),CONST_NA))</f>
        <v/>
      </c>
      <c r="I166" s="269" t="str">
        <f>IF($D166="","",SUM($G166)*SUM(INDEX(InputOutput!$AJ$71:$AJ$100,MATCH($D166,InputOutput!$D$71:$D$100,0))))</f>
        <v/>
      </c>
      <c r="J166" s="269" t="str">
        <f>IF($D166="","",SUM($G166)*SUM(INDEX(InputOutput!$AL$71:$AL$100,MATCH($D166,InputOutput!$D$71:$D$100,0))))</f>
        <v/>
      </c>
      <c r="K166" s="797" t="str">
        <f t="shared" si="26"/>
        <v/>
      </c>
      <c r="L166" s="270" t="str">
        <f>IF(D166="","",SUM(I166)*SUM(AD162))</f>
        <v/>
      </c>
      <c r="M166" s="270" t="str">
        <f>IF(D166="","",SUM(J166)*SUM(AD162))</f>
        <v/>
      </c>
      <c r="N166" s="270" t="str">
        <f t="shared" si="27"/>
        <v/>
      </c>
      <c r="O166" s="270" t="str">
        <f>IF(AG166,INDEX(E_PurchPrec!U:U,MATCH(CONST_CNTR_ElecEFMethod&amp;D166,E_PurchPrec!R:R,0)),INDEX(D_Processes!T:T,MATCH(CONST_CNTR_ElecEFMethod&amp;D166,D_Processes!R:R,0)))</f>
        <v/>
      </c>
      <c r="P166" s="829"/>
      <c r="Q166" s="813" t="str">
        <f>IF(D166="","",IF(AG166,INDEX(A_InstData!$F$101:$F$120,MATCH(D166,CNTR_List_ExistPurchPrecNames,0)),""))</f>
        <v/>
      </c>
      <c r="R166" s="818" t="str">
        <f>IF($D166="","",SUM($G166)*SUM(INDEX(F_Tools!$T$100:$T$129,MATCH($D166,F_Tools!$E$100:$E$129,0))))</f>
        <v/>
      </c>
      <c r="S166" s="809" t="str">
        <f>IF($D166="","",SUM($G166)*SUM(INDEX(F_Tools!$U$100:$U$129,MATCH($D166,F_Tools!$E$100:$E$129,0))))</f>
        <v/>
      </c>
      <c r="Z166" s="126"/>
      <c r="AB166" s="271" t="str">
        <f>CONST_PrecursorToGoodInput &amp; D166 &amp; "_" &amp; D159</f>
        <v>PrecToGood__</v>
      </c>
      <c r="AD166" s="272">
        <f>SUMIF(D_Processes!R:R,AB166,D_Processes!K:K)</f>
        <v>0</v>
      </c>
      <c r="AE166" s="271">
        <f>SUMIF(D_Processes!R:R,CONST_CNTR_TotProd &amp; D166,D_Processes!L:L)</f>
        <v>0</v>
      </c>
      <c r="AG166" s="102" t="b">
        <f t="shared" si="29"/>
        <v>0</v>
      </c>
    </row>
    <row r="167" spans="3:33" ht="12.75" customHeight="1" x14ac:dyDescent="0.25">
      <c r="C167" s="262">
        <v>5</v>
      </c>
      <c r="D167" s="1244" t="str">
        <f>IF(D159="","",IF(COUNTIF(INDEX(CNTR_IOSupplyChain,MATCH(D159,CNTR_IOProcAndPrec,0),),C167)=0,"",INDEX(CNTR_IOProcAndPrec,MATCH(C167,INDEX(CNTR_IOSupplyChain,MATCH(D159,CNTR_IOProcAndPrec,0),),0))))</f>
        <v/>
      </c>
      <c r="E167" s="1245"/>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v>
      </c>
      <c r="AD167" s="272">
        <f>SUMIF(D_Processes!R:R,AB167,D_Processes!K:K)</f>
        <v>0</v>
      </c>
      <c r="AE167" s="271">
        <f>SUMIF(D_Processes!R:R,CONST_CNTR_TotProd &amp; D167,D_Processes!L:L)</f>
        <v>0</v>
      </c>
      <c r="AG167" s="102" t="b">
        <f t="shared" si="29"/>
        <v>0</v>
      </c>
    </row>
    <row r="168" spans="3:33" ht="12.75" customHeight="1" outlineLevel="1" x14ac:dyDescent="0.25">
      <c r="C168" s="262">
        <v>6</v>
      </c>
      <c r="D168" s="1244" t="str">
        <f>IF(D159="","",IF(COUNTIF(INDEX(CNTR_IOSupplyChain,MATCH(D159,CNTR_IOProcAndPrec,0),),C168)=0,"",INDEX(CNTR_IOProcAndPrec,MATCH(C168,INDEX(CNTR_IOSupplyChain,MATCH(D159,CNTR_IOProcAndPrec,0),),0))))</f>
        <v/>
      </c>
      <c r="E168" s="1245"/>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v>
      </c>
      <c r="AD168" s="272">
        <f>SUMIF(D_Processes!R:R,AB168,D_Processes!K:K)</f>
        <v>0</v>
      </c>
      <c r="AE168" s="271">
        <f>SUMIF(D_Processes!R:R,CONST_CNTR_TotProd &amp; D168,D_Processes!L:L)</f>
        <v>0</v>
      </c>
      <c r="AG168" s="102" t="b">
        <f t="shared" si="29"/>
        <v>0</v>
      </c>
    </row>
    <row r="169" spans="3:33" ht="12.75" customHeight="1" outlineLevel="1" x14ac:dyDescent="0.25">
      <c r="C169" s="262">
        <v>7</v>
      </c>
      <c r="D169" s="1244" t="str">
        <f>IF(D159="","",IF(COUNTIF(INDEX(CNTR_IOSupplyChain,MATCH(D159,CNTR_IOProcAndPrec,0),),C169)=0,"",INDEX(CNTR_IOProcAndPrec,MATCH(C169,INDEX(CNTR_IOSupplyChain,MATCH(D159,CNTR_IOProcAndPrec,0),),0))))</f>
        <v/>
      </c>
      <c r="E169" s="1245"/>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v>
      </c>
      <c r="AD169" s="272">
        <f>SUMIF(D_Processes!R:R,AB169,D_Processes!K:K)</f>
        <v>0</v>
      </c>
      <c r="AE169" s="271">
        <f>SUMIF(D_Processes!R:R,CONST_CNTR_TotProd &amp; D169,D_Processes!L:L)</f>
        <v>0</v>
      </c>
      <c r="AG169" s="102" t="b">
        <f t="shared" si="29"/>
        <v>0</v>
      </c>
    </row>
    <row r="170" spans="3:33" ht="12.75" customHeight="1" outlineLevel="1" x14ac:dyDescent="0.25">
      <c r="C170" s="262">
        <v>8</v>
      </c>
      <c r="D170" s="1244" t="str">
        <f>IF(D159="","",IF(COUNTIF(INDEX(CNTR_IOSupplyChain,MATCH(D159,CNTR_IOProcAndPrec,0),),C170)=0,"",INDEX(CNTR_IOProcAndPrec,MATCH(C170,INDEX(CNTR_IOSupplyChain,MATCH(D159,CNTR_IOProcAndPrec,0),),0))))</f>
        <v/>
      </c>
      <c r="E170" s="1245"/>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v>
      </c>
      <c r="AD170" s="272">
        <f>SUMIF(D_Processes!R:R,AB170,D_Processes!K:K)</f>
        <v>0</v>
      </c>
      <c r="AE170" s="271">
        <f>SUMIF(D_Processes!R:R,CONST_CNTR_TotProd &amp; D170,D_Processes!L:L)</f>
        <v>0</v>
      </c>
      <c r="AG170" s="102" t="b">
        <f t="shared" si="29"/>
        <v>0</v>
      </c>
    </row>
    <row r="171" spans="3:33" ht="12.75" customHeight="1" outlineLevel="1" x14ac:dyDescent="0.25">
      <c r="C171" s="262">
        <v>9</v>
      </c>
      <c r="D171" s="1244" t="str">
        <f>IF(D159="","",IF(COUNTIF(INDEX(CNTR_IOSupplyChain,MATCH(D159,CNTR_IOProcAndPrec,0),),C171)=0,"",INDEX(CNTR_IOProcAndPrec,MATCH(C171,INDEX(CNTR_IOSupplyChain,MATCH(D159,CNTR_IOProcAndPrec,0),),0))))</f>
        <v/>
      </c>
      <c r="E171" s="1245"/>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v>
      </c>
      <c r="AD171" s="272">
        <f>SUMIF(D_Processes!R:R,AB171,D_Processes!K:K)</f>
        <v>0</v>
      </c>
      <c r="AE171" s="271">
        <f>SUMIF(D_Processes!R:R,CONST_CNTR_TotProd &amp; D171,D_Processes!L:L)</f>
        <v>0</v>
      </c>
      <c r="AG171" s="102" t="b">
        <f t="shared" si="29"/>
        <v>0</v>
      </c>
    </row>
    <row r="172" spans="3:33" ht="12.75" customHeight="1" outlineLevel="1" x14ac:dyDescent="0.25">
      <c r="C172" s="262">
        <v>10</v>
      </c>
      <c r="D172" s="1244" t="str">
        <f>IF(D159="","",IF(COUNTIF(INDEX(CNTR_IOSupplyChain,MATCH(D159,CNTR_IOProcAndPrec,0),),C172)=0,"",INDEX(CNTR_IOProcAndPrec,MATCH(C172,INDEX(CNTR_IOSupplyChain,MATCH(D159,CNTR_IOProcAndPrec,0),),0))))</f>
        <v/>
      </c>
      <c r="E172" s="1245"/>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v>
      </c>
      <c r="AD172" s="272">
        <f>SUMIF(D_Processes!R:R,AB172,D_Processes!K:K)</f>
        <v>0</v>
      </c>
      <c r="AE172" s="271">
        <f>SUMIF(D_Processes!R:R,CONST_CNTR_TotProd &amp; D172,D_Processes!L:L)</f>
        <v>0</v>
      </c>
      <c r="AG172" s="102" t="b">
        <f t="shared" si="29"/>
        <v>0</v>
      </c>
    </row>
    <row r="173" spans="3:33" ht="12.75" customHeight="1" outlineLevel="1" x14ac:dyDescent="0.25">
      <c r="C173" s="262">
        <v>11</v>
      </c>
      <c r="D173" s="1244" t="str">
        <f>IF(D159="","",IF(COUNTIF(INDEX(CNTR_IOSupplyChain,MATCH(D159,CNTR_IOProcAndPrec,0),),C173)=0,"",INDEX(CNTR_IOProcAndPrec,MATCH(C173,INDEX(CNTR_IOSupplyChain,MATCH(D159,CNTR_IOProcAndPrec,0),),0))))</f>
        <v/>
      </c>
      <c r="E173" s="1245"/>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v>
      </c>
      <c r="AD173" s="272">
        <f>SUMIF(D_Processes!R:R,AB173,D_Processes!K:K)</f>
        <v>0</v>
      </c>
      <c r="AE173" s="271">
        <f>SUMIF(D_Processes!R:R,CONST_CNTR_TotProd &amp; D173,D_Processes!L:L)</f>
        <v>0</v>
      </c>
      <c r="AG173" s="102" t="b">
        <f t="shared" si="29"/>
        <v>0</v>
      </c>
    </row>
    <row r="174" spans="3:33" ht="12.75" customHeight="1" outlineLevel="1" x14ac:dyDescent="0.25">
      <c r="C174" s="262">
        <v>12</v>
      </c>
      <c r="D174" s="1244" t="str">
        <f>IF(D159="","",IF(COUNTIF(INDEX(CNTR_IOSupplyChain,MATCH(D159,CNTR_IOProcAndPrec,0),),C174)=0,"",INDEX(CNTR_IOProcAndPrec,MATCH(C174,INDEX(CNTR_IOSupplyChain,MATCH(D159,CNTR_IOProcAndPrec,0),),0))))</f>
        <v/>
      </c>
      <c r="E174" s="1245"/>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v>
      </c>
      <c r="AD174" s="272">
        <f>SUMIF(D_Processes!R:R,AB174,D_Processes!K:K)</f>
        <v>0</v>
      </c>
      <c r="AE174" s="271">
        <f>SUMIF(D_Processes!R:R,CONST_CNTR_TotProd &amp; D174,D_Processes!L:L)</f>
        <v>0</v>
      </c>
      <c r="AG174" s="102" t="b">
        <f t="shared" si="29"/>
        <v>0</v>
      </c>
    </row>
    <row r="175" spans="3:33" ht="12.75" customHeight="1" outlineLevel="1" x14ac:dyDescent="0.25">
      <c r="C175" s="262">
        <v>13</v>
      </c>
      <c r="D175" s="1244" t="str">
        <f>IF(D159="","",IF(COUNTIF(INDEX(CNTR_IOSupplyChain,MATCH(D159,CNTR_IOProcAndPrec,0),),C175)=0,"",INDEX(CNTR_IOProcAndPrec,MATCH(C175,INDEX(CNTR_IOSupplyChain,MATCH(D159,CNTR_IOProcAndPrec,0),),0))))</f>
        <v/>
      </c>
      <c r="E175" s="1245"/>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v>
      </c>
      <c r="AD175" s="272">
        <f>SUMIF(D_Processes!R:R,AB175,D_Processes!K:K)</f>
        <v>0</v>
      </c>
      <c r="AE175" s="271">
        <f>SUMIF(D_Processes!R:R,CONST_CNTR_TotProd &amp; D175,D_Processes!L:L)</f>
        <v>0</v>
      </c>
      <c r="AG175" s="102" t="b">
        <f t="shared" si="29"/>
        <v>0</v>
      </c>
    </row>
    <row r="176" spans="3:33" ht="12.75" customHeight="1" outlineLevel="1" x14ac:dyDescent="0.25">
      <c r="C176" s="262">
        <v>14</v>
      </c>
      <c r="D176" s="1244" t="str">
        <f>IF(D159="","",IF(COUNTIF(INDEX(CNTR_IOSupplyChain,MATCH(D159,CNTR_IOProcAndPrec,0),),C176)=0,"",INDEX(CNTR_IOProcAndPrec,MATCH(C176,INDEX(CNTR_IOSupplyChain,MATCH(D159,CNTR_IOProcAndPrec,0),),0))))</f>
        <v/>
      </c>
      <c r="E176" s="1245"/>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v>
      </c>
      <c r="AD176" s="272">
        <f>SUMIF(D_Processes!R:R,AB176,D_Processes!K:K)</f>
        <v>0</v>
      </c>
      <c r="AE176" s="271">
        <f>SUMIF(D_Processes!R:R,CONST_CNTR_TotProd &amp; D176,D_Processes!L:L)</f>
        <v>0</v>
      </c>
      <c r="AG176" s="102" t="b">
        <f t="shared" si="29"/>
        <v>0</v>
      </c>
    </row>
    <row r="177" spans="3:33" ht="12.75" customHeight="1" outlineLevel="1" x14ac:dyDescent="0.25">
      <c r="C177" s="262">
        <v>15</v>
      </c>
      <c r="D177" s="1244" t="str">
        <f>IF(D159="","",IF(COUNTIF(INDEX(CNTR_IOSupplyChain,MATCH(D159,CNTR_IOProcAndPrec,0),),C177)=0,"",INDEX(CNTR_IOProcAndPrec,MATCH(C177,INDEX(CNTR_IOSupplyChain,MATCH(D159,CNTR_IOProcAndPrec,0),),0))))</f>
        <v/>
      </c>
      <c r="E177" s="1245"/>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v>
      </c>
      <c r="AD177" s="272">
        <f>SUMIF(D_Processes!R:R,AB177,D_Processes!K:K)</f>
        <v>0</v>
      </c>
      <c r="AE177" s="271">
        <f>SUMIF(D_Processes!R:R,CONST_CNTR_TotProd &amp; D177,D_Processes!L:L)</f>
        <v>0</v>
      </c>
      <c r="AG177" s="102" t="b">
        <f t="shared" si="29"/>
        <v>0</v>
      </c>
    </row>
    <row r="178" spans="3:33" ht="12.75" customHeight="1" outlineLevel="1" x14ac:dyDescent="0.25">
      <c r="C178" s="262">
        <v>16</v>
      </c>
      <c r="D178" s="1244" t="str">
        <f>IF(D159="","",IF(COUNTIF(INDEX(CNTR_IOSupplyChain,MATCH(D159,CNTR_IOProcAndPrec,0),),C178)=0,"",INDEX(CNTR_IOProcAndPrec,MATCH(C178,INDEX(CNTR_IOSupplyChain,MATCH(D159,CNTR_IOProcAndPrec,0),),0))))</f>
        <v/>
      </c>
      <c r="E178" s="1245"/>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v>
      </c>
      <c r="AD178" s="272">
        <f>SUMIF(D_Processes!R:R,AB178,D_Processes!K:K)</f>
        <v>0</v>
      </c>
      <c r="AE178" s="271">
        <f>SUMIF(D_Processes!R:R,CONST_CNTR_TotProd &amp; D178,D_Processes!L:L)</f>
        <v>0</v>
      </c>
      <c r="AG178" s="102" t="b">
        <f t="shared" si="29"/>
        <v>0</v>
      </c>
    </row>
    <row r="179" spans="3:33" ht="12.75" customHeight="1" outlineLevel="1" x14ac:dyDescent="0.25">
      <c r="C179" s="262">
        <v>17</v>
      </c>
      <c r="D179" s="1244" t="str">
        <f>IF(D159="","",IF(COUNTIF(INDEX(CNTR_IOSupplyChain,MATCH(D159,CNTR_IOProcAndPrec,0),),C179)=0,"",INDEX(CNTR_IOProcAndPrec,MATCH(C179,INDEX(CNTR_IOSupplyChain,MATCH(D159,CNTR_IOProcAndPrec,0),),0))))</f>
        <v/>
      </c>
      <c r="E179" s="1245"/>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v>
      </c>
      <c r="AD179" s="272">
        <f>SUMIF(D_Processes!R:R,AB179,D_Processes!K:K)</f>
        <v>0</v>
      </c>
      <c r="AE179" s="271">
        <f>SUMIF(D_Processes!R:R,CONST_CNTR_TotProd &amp; D179,D_Processes!L:L)</f>
        <v>0</v>
      </c>
      <c r="AG179" s="102" t="b">
        <f t="shared" si="29"/>
        <v>0</v>
      </c>
    </row>
    <row r="180" spans="3:33" ht="12.75" customHeight="1" outlineLevel="1" x14ac:dyDescent="0.25">
      <c r="C180" s="262">
        <v>18</v>
      </c>
      <c r="D180" s="1244" t="str">
        <f>IF(D159="","",IF(COUNTIF(INDEX(CNTR_IOSupplyChain,MATCH(D159,CNTR_IOProcAndPrec,0),),C180)=0,"",INDEX(CNTR_IOProcAndPrec,MATCH(C180,INDEX(CNTR_IOSupplyChain,MATCH(D159,CNTR_IOProcAndPrec,0),),0))))</f>
        <v/>
      </c>
      <c r="E180" s="1245"/>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v>
      </c>
      <c r="AD180" s="272">
        <f>SUMIF(D_Processes!R:R,AB180,D_Processes!K:K)</f>
        <v>0</v>
      </c>
      <c r="AE180" s="271">
        <f>SUMIF(D_Processes!R:R,CONST_CNTR_TotProd &amp; D180,D_Processes!L:L)</f>
        <v>0</v>
      </c>
      <c r="AG180" s="102" t="b">
        <f t="shared" si="29"/>
        <v>0</v>
      </c>
    </row>
    <row r="181" spans="3:33" ht="12.75" customHeight="1" outlineLevel="1" x14ac:dyDescent="0.25">
      <c r="C181" s="262">
        <v>19</v>
      </c>
      <c r="D181" s="1244" t="str">
        <f>IF(D159="","",IF(COUNTIF(INDEX(CNTR_IOSupplyChain,MATCH(D159,CNTR_IOProcAndPrec,0),),C181)=0,"",INDEX(CNTR_IOProcAndPrec,MATCH(C181,INDEX(CNTR_IOSupplyChain,MATCH(D159,CNTR_IOProcAndPrec,0),),0))))</f>
        <v/>
      </c>
      <c r="E181" s="1245"/>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v>
      </c>
      <c r="AD181" s="272">
        <f>SUMIF(D_Processes!R:R,AB181,D_Processes!K:K)</f>
        <v>0</v>
      </c>
      <c r="AE181" s="271">
        <f>SUMIF(D_Processes!R:R,CONST_CNTR_TotProd &amp; D181,D_Processes!L:L)</f>
        <v>0</v>
      </c>
      <c r="AG181" s="102" t="b">
        <f t="shared" si="29"/>
        <v>0</v>
      </c>
    </row>
    <row r="182" spans="3:33" ht="12.75" customHeight="1" outlineLevel="1" x14ac:dyDescent="0.25">
      <c r="C182" s="262">
        <v>20</v>
      </c>
      <c r="D182" s="1244" t="str">
        <f>IF(D159="","",IF(COUNTIF(INDEX(CNTR_IOSupplyChain,MATCH(D159,CNTR_IOProcAndPrec,0),),C182)=0,"",INDEX(CNTR_IOProcAndPrec,MATCH(C182,INDEX(CNTR_IOSupplyChain,MATCH(D159,CNTR_IOProcAndPrec,0),),0))))</f>
        <v/>
      </c>
      <c r="E182" s="1245"/>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v>
      </c>
      <c r="AD182" s="272">
        <f>SUMIF(D_Processes!R:R,AB182,D_Processes!K:K)</f>
        <v>0</v>
      </c>
      <c r="AE182" s="271">
        <f>SUMIF(D_Processes!R:R,CONST_CNTR_TotProd &amp; D182,D_Processes!L:L)</f>
        <v>0</v>
      </c>
      <c r="AG182" s="102" t="b">
        <f t="shared" si="29"/>
        <v>0</v>
      </c>
    </row>
    <row r="183" spans="3:33" ht="12.75" customHeight="1" outlineLevel="1" x14ac:dyDescent="0.25">
      <c r="C183" s="262">
        <v>21</v>
      </c>
      <c r="D183" s="1244" t="str">
        <f>IF(D159="","",IF(COUNTIF(INDEX(CNTR_IOSupplyChain,MATCH(D159,CNTR_IOProcAndPrec,0),),C183)=0,"",INDEX(CNTR_IOProcAndPrec,MATCH(C183,INDEX(CNTR_IOSupplyChain,MATCH(D159,CNTR_IOProcAndPrec,0),),0))))</f>
        <v/>
      </c>
      <c r="E183" s="1245"/>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v>
      </c>
      <c r="AD183" s="272">
        <f>SUMIF(D_Processes!R:R,AB183,D_Processes!K:K)</f>
        <v>0</v>
      </c>
      <c r="AE183" s="271">
        <f>SUMIF(D_Processes!R:R,CONST_CNTR_TotProd &amp; D183,D_Processes!L:L)</f>
        <v>0</v>
      </c>
      <c r="AG183" s="102" t="b">
        <f t="shared" si="29"/>
        <v>0</v>
      </c>
    </row>
    <row r="184" spans="3:33" ht="12.75" customHeight="1" outlineLevel="1" x14ac:dyDescent="0.25">
      <c r="C184" s="262">
        <v>22</v>
      </c>
      <c r="D184" s="1244" t="str">
        <f>IF(D159="","",IF(COUNTIF(INDEX(CNTR_IOSupplyChain,MATCH(D159,CNTR_IOProcAndPrec,0),),C184)=0,"",INDEX(CNTR_IOProcAndPrec,MATCH(C184,INDEX(CNTR_IOSupplyChain,MATCH(D159,CNTR_IOProcAndPrec,0),),0))))</f>
        <v/>
      </c>
      <c r="E184" s="1245"/>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v>
      </c>
      <c r="AD184" s="272">
        <f>SUMIF(D_Processes!R:R,AB184,D_Processes!K:K)</f>
        <v>0</v>
      </c>
      <c r="AE184" s="271">
        <f>SUMIF(D_Processes!R:R,CONST_CNTR_TotProd &amp; D184,D_Processes!L:L)</f>
        <v>0</v>
      </c>
      <c r="AG184" s="102" t="b">
        <f t="shared" si="29"/>
        <v>0</v>
      </c>
    </row>
    <row r="185" spans="3:33" ht="12.75" customHeight="1" outlineLevel="1" x14ac:dyDescent="0.25">
      <c r="C185" s="262">
        <v>23</v>
      </c>
      <c r="D185" s="1244" t="str">
        <f>IF(D159="","",IF(COUNTIF(INDEX(CNTR_IOSupplyChain,MATCH(D159,CNTR_IOProcAndPrec,0),),C185)=0,"",INDEX(CNTR_IOProcAndPrec,MATCH(C185,INDEX(CNTR_IOSupplyChain,MATCH(D159,CNTR_IOProcAndPrec,0),),0))))</f>
        <v/>
      </c>
      <c r="E185" s="1245"/>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v>
      </c>
      <c r="AD185" s="272">
        <f>SUMIF(D_Processes!R:R,AB185,D_Processes!K:K)</f>
        <v>0</v>
      </c>
      <c r="AE185" s="271">
        <f>SUMIF(D_Processes!R:R,CONST_CNTR_TotProd &amp; D185,D_Processes!L:L)</f>
        <v>0</v>
      </c>
      <c r="AG185" s="102" t="b">
        <f t="shared" si="29"/>
        <v>0</v>
      </c>
    </row>
    <row r="186" spans="3:33" ht="12.75" customHeight="1" outlineLevel="1" x14ac:dyDescent="0.25">
      <c r="C186" s="262">
        <v>24</v>
      </c>
      <c r="D186" s="1244" t="str">
        <f>IF(D159="","",IF(COUNTIF(INDEX(CNTR_IOSupplyChain,MATCH(D159,CNTR_IOProcAndPrec,0),),C186)=0,"",INDEX(CNTR_IOProcAndPrec,MATCH(C186,INDEX(CNTR_IOSupplyChain,MATCH(D159,CNTR_IOProcAndPrec,0),),0))))</f>
        <v/>
      </c>
      <c r="E186" s="1245"/>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v>
      </c>
      <c r="AD186" s="272">
        <f>SUMIF(D_Processes!R:R,AB186,D_Processes!K:K)</f>
        <v>0</v>
      </c>
      <c r="AE186" s="271">
        <f>SUMIF(D_Processes!R:R,CONST_CNTR_TotProd &amp; D186,D_Processes!L:L)</f>
        <v>0</v>
      </c>
      <c r="AG186" s="102" t="b">
        <f t="shared" si="29"/>
        <v>0</v>
      </c>
    </row>
    <row r="187" spans="3:33" ht="12.75" customHeight="1" outlineLevel="1" x14ac:dyDescent="0.25">
      <c r="C187" s="262">
        <v>25</v>
      </c>
      <c r="D187" s="1244" t="str">
        <f>IF(D159="","",IF(COUNTIF(INDEX(CNTR_IOSupplyChain,MATCH(D159,CNTR_IOProcAndPrec,0),),C187)=0,"",INDEX(CNTR_IOProcAndPrec,MATCH(C187,INDEX(CNTR_IOSupplyChain,MATCH(D159,CNTR_IOProcAndPrec,0),),0))))</f>
        <v/>
      </c>
      <c r="E187" s="1245"/>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v>
      </c>
      <c r="AD187" s="272">
        <f>SUMIF(D_Processes!R:R,AB187,D_Processes!K:K)</f>
        <v>0</v>
      </c>
      <c r="AE187" s="271">
        <f>SUMIF(D_Processes!R:R,CONST_CNTR_TotProd &amp; D187,D_Processes!L:L)</f>
        <v>0</v>
      </c>
      <c r="AG187" s="102" t="b">
        <f t="shared" si="29"/>
        <v>0</v>
      </c>
    </row>
    <row r="188" spans="3:33" ht="12.75" customHeight="1" outlineLevel="1" x14ac:dyDescent="0.25">
      <c r="C188" s="262">
        <v>26</v>
      </c>
      <c r="D188" s="1244" t="str">
        <f>IF(D159="","",IF(COUNTIF(INDEX(CNTR_IOSupplyChain,MATCH(D159,CNTR_IOProcAndPrec,0),),C188)=0,"",INDEX(CNTR_IOProcAndPrec,MATCH(C188,INDEX(CNTR_IOSupplyChain,MATCH(D159,CNTR_IOProcAndPrec,0),),0))))</f>
        <v/>
      </c>
      <c r="E188" s="1245"/>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v>
      </c>
      <c r="AD188" s="272">
        <f>SUMIF(D_Processes!R:R,AB188,D_Processes!K:K)</f>
        <v>0</v>
      </c>
      <c r="AE188" s="271">
        <f>SUMIF(D_Processes!R:R,CONST_CNTR_TotProd &amp; D188,D_Processes!L:L)</f>
        <v>0</v>
      </c>
      <c r="AG188" s="102" t="b">
        <f t="shared" si="29"/>
        <v>0</v>
      </c>
    </row>
    <row r="189" spans="3:33" ht="12.75" customHeight="1" outlineLevel="1" x14ac:dyDescent="0.25">
      <c r="C189" s="262">
        <v>27</v>
      </c>
      <c r="D189" s="1244" t="str">
        <f>IF(D159="","",IF(COUNTIF(INDEX(CNTR_IOSupplyChain,MATCH(D159,CNTR_IOProcAndPrec,0),),C189)=0,"",INDEX(CNTR_IOProcAndPrec,MATCH(C189,INDEX(CNTR_IOSupplyChain,MATCH(D159,CNTR_IOProcAndPrec,0),),0))))</f>
        <v/>
      </c>
      <c r="E189" s="1245"/>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v>
      </c>
      <c r="AD189" s="272">
        <f>SUMIF(D_Processes!R:R,AB189,D_Processes!K:K)</f>
        <v>0</v>
      </c>
      <c r="AE189" s="271">
        <f>SUMIF(D_Processes!R:R,CONST_CNTR_TotProd &amp; D189,D_Processes!L:L)</f>
        <v>0</v>
      </c>
      <c r="AG189" s="102" t="b">
        <f t="shared" si="29"/>
        <v>0</v>
      </c>
    </row>
    <row r="190" spans="3:33" ht="12.75" customHeight="1" outlineLevel="1" x14ac:dyDescent="0.25">
      <c r="C190" s="262">
        <v>28</v>
      </c>
      <c r="D190" s="1244" t="str">
        <f>IF(D159="","",IF(COUNTIF(INDEX(CNTR_IOSupplyChain,MATCH(D159,CNTR_IOProcAndPrec,0),),C190)=0,"",INDEX(CNTR_IOProcAndPrec,MATCH(C190,INDEX(CNTR_IOSupplyChain,MATCH(D159,CNTR_IOProcAndPrec,0),),0))))</f>
        <v/>
      </c>
      <c r="E190" s="1245"/>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v>
      </c>
      <c r="AD190" s="272">
        <f>SUMIF(D_Processes!R:R,AB190,D_Processes!K:K)</f>
        <v>0</v>
      </c>
      <c r="AE190" s="271">
        <f>SUMIF(D_Processes!R:R,CONST_CNTR_TotProd &amp; D190,D_Processes!L:L)</f>
        <v>0</v>
      </c>
      <c r="AG190" s="102" t="b">
        <f t="shared" si="29"/>
        <v>0</v>
      </c>
    </row>
    <row r="191" spans="3:33" ht="12.75" customHeight="1" outlineLevel="1" x14ac:dyDescent="0.25">
      <c r="C191" s="262">
        <v>29</v>
      </c>
      <c r="D191" s="1244" t="str">
        <f>IF(D159="","",IF(COUNTIF(INDEX(CNTR_IOSupplyChain,MATCH(D159,CNTR_IOProcAndPrec,0),),C191)=0,"",INDEX(CNTR_IOProcAndPrec,MATCH(C191,INDEX(CNTR_IOSupplyChain,MATCH(D159,CNTR_IOProcAndPrec,0),),0))))</f>
        <v/>
      </c>
      <c r="E191" s="1245"/>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v>
      </c>
      <c r="AD191" s="272">
        <f>SUMIF(D_Processes!R:R,AB191,D_Processes!K:K)</f>
        <v>0</v>
      </c>
      <c r="AE191" s="271">
        <f>SUMIF(D_Processes!R:R,CONST_CNTR_TotProd &amp; D191,D_Processes!L:L)</f>
        <v>0</v>
      </c>
      <c r="AG191" s="102" t="b">
        <f t="shared" si="29"/>
        <v>0</v>
      </c>
    </row>
    <row r="192" spans="3:33" ht="12.75" customHeight="1" outlineLevel="1" thickBot="1" x14ac:dyDescent="0.3">
      <c r="C192" s="262">
        <v>30</v>
      </c>
      <c r="D192" s="1277" t="str">
        <f>IF(D159="","",IF(COUNTIF(INDEX(CNTR_IOSupplyChain,MATCH(D159,CNTR_IOProcAndPrec,0),),C192)=0,"",INDEX(CNTR_IOProcAndPrec,MATCH(C192,INDEX(CNTR_IOSupplyChain,MATCH(D159,CNTR_IOProcAndPrec,0),),0))))</f>
        <v/>
      </c>
      <c r="E192" s="1278"/>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v>
      </c>
      <c r="AD192" s="277">
        <f>SUMIF(D_Processes!R:R,AB192,D_Processes!K:K)</f>
        <v>0</v>
      </c>
      <c r="AE192" s="276">
        <f>SUMIF(D_Processes!R:R,CONST_CNTR_TotProd &amp; D192,D_Processes!L:L)</f>
        <v>0</v>
      </c>
      <c r="AG192" s="102" t="b">
        <f t="shared" si="29"/>
        <v>0</v>
      </c>
    </row>
    <row r="193" spans="1:41" ht="12.75" customHeight="1" thickBot="1" x14ac:dyDescent="0.3">
      <c r="I193" s="799"/>
      <c r="J193" s="799"/>
      <c r="K193" s="799"/>
      <c r="P193" s="799"/>
    </row>
    <row r="194" spans="1:41" ht="12.75" customHeight="1" thickBot="1" x14ac:dyDescent="0.3">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x14ac:dyDescent="0.25">
      <c r="A195" s="251"/>
      <c r="C195" s="1239">
        <f>C159+1</f>
        <v>2</v>
      </c>
      <c r="D195" s="1246" t="str">
        <f>IF(INDEX(CNTR_List_ExistProdProcNames,C195)=CONST_NA,"",INDEX(CNTR_List_ExistProdProcNames,C195))</f>
        <v/>
      </c>
      <c r="E195" s="1247"/>
      <c r="F195" s="1250" t="str">
        <f>Translations!$B$107</f>
        <v>Aggregated goods category</v>
      </c>
      <c r="G195" s="253" t="str">
        <f>Translations!$B$584</f>
        <v>Mass share</v>
      </c>
      <c r="H195" s="1252"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52" t="str">
        <f>Translations!$B$594</f>
        <v>Source of electricity EF</v>
      </c>
      <c r="P195" s="801" t="str">
        <f>Translations!$B$597</f>
        <v>Specific electricity</v>
      </c>
      <c r="Q195" s="1237" t="s">
        <v>1295</v>
      </c>
      <c r="R195" s="1271" t="str">
        <f>Translations!$B$351</f>
        <v>CP due (per t or MWh)</v>
      </c>
      <c r="S195" s="1273"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x14ac:dyDescent="0.3">
      <c r="A196" s="251"/>
      <c r="C196" s="1240"/>
      <c r="D196" s="1248"/>
      <c r="E196" s="1249"/>
      <c r="F196" s="1251"/>
      <c r="G196" s="254" t="str">
        <f>IF($F197="",CONST_t,INDEX(CONST_LIST_GoodsUnit,MATCH($F197,CONST_LIST_Goods,0))) &amp;"/"&amp; IF($F197="",CONST_t,INDEX(CONST_LIST_GoodsUnit,MATCH($F197,CONST_LIST_Goods,0)))</f>
        <v>t/t</v>
      </c>
      <c r="H196" s="1253"/>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53"/>
      <c r="P196" s="802" t="str">
        <f>CONST_MWh &amp; "/" &amp; IF($F197="",CONST_t,INDEX(CONST_LIST_GoodsUnit,MATCH($F197,CONST_LIST_Goods,0)))</f>
        <v>MWh/t</v>
      </c>
      <c r="Q196" s="1238"/>
      <c r="R196" s="1272"/>
      <c r="S196" s="1274"/>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x14ac:dyDescent="0.3">
      <c r="C197" s="1241"/>
      <c r="D197" s="1254" t="str">
        <f>Translations!$B$600</f>
        <v>Total production process</v>
      </c>
      <c r="E197" s="1255"/>
      <c r="F197" s="256" t="str">
        <f>IF(D198="","",INDEX(CNTR_List_ExistProdProc,MATCH(D198,CNTR_List_ExistProdProcNames,0)))</f>
        <v/>
      </c>
      <c r="G197" s="257" t="s">
        <v>1329</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1329</v>
      </c>
      <c r="P197" s="795" t="str">
        <f>IF(COUNT(P198:P228)&gt;0,SUM(P198:P228),"")</f>
        <v/>
      </c>
      <c r="Q197" s="810" t="s">
        <v>1329</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1355</v>
      </c>
    </row>
    <row r="198" spans="1:41" ht="12.75" customHeight="1" thickBot="1" x14ac:dyDescent="0.3">
      <c r="D198" s="1269" t="str">
        <f>D195</f>
        <v/>
      </c>
      <c r="E198" s="1270"/>
      <c r="F198" s="286" t="str">
        <f>IF(D198="","",INDEX(CNTR_List_ExistProdProc,MATCH(D198,CNTR_List_ExistProdProcNames,0)))</f>
        <v/>
      </c>
      <c r="G198" s="259">
        <v>1</v>
      </c>
      <c r="H198" s="287" t="s">
        <v>1329</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x14ac:dyDescent="0.25">
      <c r="C199" s="262">
        <v>1</v>
      </c>
      <c r="D199" s="1242" t="str">
        <f>IF(D195="","",IF(COUNTIF(INDEX(CNTR_IOSupplyChain,MATCH(D195,CNTR_IOProcAndPrec,0),),C199)=0,"",INDEX(CNTR_IOProcAndPrec,MATCH(C199,INDEX(CNTR_IOSupplyChain,MATCH(D195,CNTR_IOProcAndPrec,0),),0))))</f>
        <v/>
      </c>
      <c r="E199" s="1243"/>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x14ac:dyDescent="0.25">
      <c r="C200" s="262">
        <v>2</v>
      </c>
      <c r="D200" s="1244" t="str">
        <f>IF(D195="","",IF(COUNTIF(INDEX(CNTR_IOSupplyChain,MATCH(D195,CNTR_IOProcAndPrec,0),),C200)=0,"",INDEX(CNTR_IOProcAndPrec,MATCH(C200,INDEX(CNTR_IOSupplyChain,MATCH(D195,CNTR_IOProcAndPrec,0),),0))))</f>
        <v/>
      </c>
      <c r="E200" s="1245"/>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x14ac:dyDescent="0.25">
      <c r="C201" s="262">
        <v>3</v>
      </c>
      <c r="D201" s="1244" t="str">
        <f>IF(D195="","",IF(COUNTIF(INDEX(CNTR_IOSupplyChain,MATCH(D195,CNTR_IOProcAndPrec,0),),C201)=0,"",INDEX(CNTR_IOProcAndPrec,MATCH(C201,INDEX(CNTR_IOSupplyChain,MATCH(D195,CNTR_IOProcAndPrec,0),),0))))</f>
        <v/>
      </c>
      <c r="E201" s="1245"/>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x14ac:dyDescent="0.25">
      <c r="C202" s="262">
        <v>4</v>
      </c>
      <c r="D202" s="1244" t="str">
        <f>IF(D195="","",IF(COUNTIF(INDEX(CNTR_IOSupplyChain,MATCH(D195,CNTR_IOProcAndPrec,0),),C202)=0,"",INDEX(CNTR_IOProcAndPrec,MATCH(C202,INDEX(CNTR_IOSupplyChain,MATCH(D195,CNTR_IOProcAndPrec,0),),0))))</f>
        <v/>
      </c>
      <c r="E202" s="1245"/>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x14ac:dyDescent="0.25">
      <c r="C203" s="262">
        <v>5</v>
      </c>
      <c r="D203" s="1244" t="str">
        <f>IF(D195="","",IF(COUNTIF(INDEX(CNTR_IOSupplyChain,MATCH(D195,CNTR_IOProcAndPrec,0),),C203)=0,"",INDEX(CNTR_IOProcAndPrec,MATCH(C203,INDEX(CNTR_IOSupplyChain,MATCH(D195,CNTR_IOProcAndPrec,0),),0))))</f>
        <v/>
      </c>
      <c r="E203" s="1245"/>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x14ac:dyDescent="0.25">
      <c r="C204" s="262">
        <v>6</v>
      </c>
      <c r="D204" s="1244" t="str">
        <f>IF(D195="","",IF(COUNTIF(INDEX(CNTR_IOSupplyChain,MATCH(D195,CNTR_IOProcAndPrec,0),),C204)=0,"",INDEX(CNTR_IOProcAndPrec,MATCH(C204,INDEX(CNTR_IOSupplyChain,MATCH(D195,CNTR_IOProcAndPrec,0),),0))))</f>
        <v/>
      </c>
      <c r="E204" s="1245"/>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x14ac:dyDescent="0.25">
      <c r="C205" s="262">
        <v>7</v>
      </c>
      <c r="D205" s="1244" t="str">
        <f>IF(D195="","",IF(COUNTIF(INDEX(CNTR_IOSupplyChain,MATCH(D195,CNTR_IOProcAndPrec,0),),C205)=0,"",INDEX(CNTR_IOProcAndPrec,MATCH(C205,INDEX(CNTR_IOSupplyChain,MATCH(D195,CNTR_IOProcAndPrec,0),),0))))</f>
        <v/>
      </c>
      <c r="E205" s="1245"/>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x14ac:dyDescent="0.25">
      <c r="C206" s="262">
        <v>8</v>
      </c>
      <c r="D206" s="1244" t="str">
        <f>IF(D195="","",IF(COUNTIF(INDEX(CNTR_IOSupplyChain,MATCH(D195,CNTR_IOProcAndPrec,0),),C206)=0,"",INDEX(CNTR_IOProcAndPrec,MATCH(C206,INDEX(CNTR_IOSupplyChain,MATCH(D195,CNTR_IOProcAndPrec,0),),0))))</f>
        <v/>
      </c>
      <c r="E206" s="1245"/>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x14ac:dyDescent="0.25">
      <c r="C207" s="262">
        <v>9</v>
      </c>
      <c r="D207" s="1244" t="str">
        <f>IF(D195="","",IF(COUNTIF(INDEX(CNTR_IOSupplyChain,MATCH(D195,CNTR_IOProcAndPrec,0),),C207)=0,"",INDEX(CNTR_IOProcAndPrec,MATCH(C207,INDEX(CNTR_IOSupplyChain,MATCH(D195,CNTR_IOProcAndPrec,0),),0))))</f>
        <v/>
      </c>
      <c r="E207" s="1245"/>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x14ac:dyDescent="0.25">
      <c r="C208" s="262">
        <v>10</v>
      </c>
      <c r="D208" s="1244" t="str">
        <f>IF(D195="","",IF(COUNTIF(INDEX(CNTR_IOSupplyChain,MATCH(D195,CNTR_IOProcAndPrec,0),),C208)=0,"",INDEX(CNTR_IOProcAndPrec,MATCH(C208,INDEX(CNTR_IOSupplyChain,MATCH(D195,CNTR_IOProcAndPrec,0),),0))))</f>
        <v/>
      </c>
      <c r="E208" s="1245"/>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x14ac:dyDescent="0.25">
      <c r="C209" s="262">
        <v>11</v>
      </c>
      <c r="D209" s="1244" t="str">
        <f>IF(D195="","",IF(COUNTIF(INDEX(CNTR_IOSupplyChain,MATCH(D195,CNTR_IOProcAndPrec,0),),C209)=0,"",INDEX(CNTR_IOProcAndPrec,MATCH(C209,INDEX(CNTR_IOSupplyChain,MATCH(D195,CNTR_IOProcAndPrec,0),),0))))</f>
        <v/>
      </c>
      <c r="E209" s="1245"/>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x14ac:dyDescent="0.25">
      <c r="C210" s="262">
        <v>12</v>
      </c>
      <c r="D210" s="1244" t="str">
        <f>IF(D195="","",IF(COUNTIF(INDEX(CNTR_IOSupplyChain,MATCH(D195,CNTR_IOProcAndPrec,0),),C210)=0,"",INDEX(CNTR_IOProcAndPrec,MATCH(C210,INDEX(CNTR_IOSupplyChain,MATCH(D195,CNTR_IOProcAndPrec,0),),0))))</f>
        <v/>
      </c>
      <c r="E210" s="1245"/>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x14ac:dyDescent="0.25">
      <c r="C211" s="262">
        <v>13</v>
      </c>
      <c r="D211" s="1244" t="str">
        <f>IF(D195="","",IF(COUNTIF(INDEX(CNTR_IOSupplyChain,MATCH(D195,CNTR_IOProcAndPrec,0),),C211)=0,"",INDEX(CNTR_IOProcAndPrec,MATCH(C211,INDEX(CNTR_IOSupplyChain,MATCH(D195,CNTR_IOProcAndPrec,0),),0))))</f>
        <v/>
      </c>
      <c r="E211" s="1245"/>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x14ac:dyDescent="0.25">
      <c r="C212" s="262">
        <v>14</v>
      </c>
      <c r="D212" s="1244" t="str">
        <f>IF(D195="","",IF(COUNTIF(INDEX(CNTR_IOSupplyChain,MATCH(D195,CNTR_IOProcAndPrec,0),),C212)=0,"",INDEX(CNTR_IOProcAndPrec,MATCH(C212,INDEX(CNTR_IOSupplyChain,MATCH(D195,CNTR_IOProcAndPrec,0),),0))))</f>
        <v/>
      </c>
      <c r="E212" s="1245"/>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x14ac:dyDescent="0.25">
      <c r="C213" s="262">
        <v>15</v>
      </c>
      <c r="D213" s="1244" t="str">
        <f>IF(D195="","",IF(COUNTIF(INDEX(CNTR_IOSupplyChain,MATCH(D195,CNTR_IOProcAndPrec,0),),C213)=0,"",INDEX(CNTR_IOProcAndPrec,MATCH(C213,INDEX(CNTR_IOSupplyChain,MATCH(D195,CNTR_IOProcAndPrec,0),),0))))</f>
        <v/>
      </c>
      <c r="E213" s="1245"/>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x14ac:dyDescent="0.25">
      <c r="C214" s="262">
        <v>16</v>
      </c>
      <c r="D214" s="1244" t="str">
        <f>IF(D195="","",IF(COUNTIF(INDEX(CNTR_IOSupplyChain,MATCH(D195,CNTR_IOProcAndPrec,0),),C214)=0,"",INDEX(CNTR_IOProcAndPrec,MATCH(C214,INDEX(CNTR_IOSupplyChain,MATCH(D195,CNTR_IOProcAndPrec,0),),0))))</f>
        <v/>
      </c>
      <c r="E214" s="1245"/>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x14ac:dyDescent="0.25">
      <c r="C215" s="262">
        <v>17</v>
      </c>
      <c r="D215" s="1244" t="str">
        <f>IF(D195="","",IF(COUNTIF(INDEX(CNTR_IOSupplyChain,MATCH(D195,CNTR_IOProcAndPrec,0),),C215)=0,"",INDEX(CNTR_IOProcAndPrec,MATCH(C215,INDEX(CNTR_IOSupplyChain,MATCH(D195,CNTR_IOProcAndPrec,0),),0))))</f>
        <v/>
      </c>
      <c r="E215" s="1245"/>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x14ac:dyDescent="0.25">
      <c r="C216" s="262">
        <v>18</v>
      </c>
      <c r="D216" s="1244" t="str">
        <f>IF(D195="","",IF(COUNTIF(INDEX(CNTR_IOSupplyChain,MATCH(D195,CNTR_IOProcAndPrec,0),),C216)=0,"",INDEX(CNTR_IOProcAndPrec,MATCH(C216,INDEX(CNTR_IOSupplyChain,MATCH(D195,CNTR_IOProcAndPrec,0),),0))))</f>
        <v/>
      </c>
      <c r="E216" s="1245"/>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x14ac:dyDescent="0.25">
      <c r="C217" s="262">
        <v>19</v>
      </c>
      <c r="D217" s="1244" t="str">
        <f>IF(D195="","",IF(COUNTIF(INDEX(CNTR_IOSupplyChain,MATCH(D195,CNTR_IOProcAndPrec,0),),C217)=0,"",INDEX(CNTR_IOProcAndPrec,MATCH(C217,INDEX(CNTR_IOSupplyChain,MATCH(D195,CNTR_IOProcAndPrec,0),),0))))</f>
        <v/>
      </c>
      <c r="E217" s="1245"/>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x14ac:dyDescent="0.25">
      <c r="C218" s="262">
        <v>20</v>
      </c>
      <c r="D218" s="1244" t="str">
        <f>IF(D195="","",IF(COUNTIF(INDEX(CNTR_IOSupplyChain,MATCH(D195,CNTR_IOProcAndPrec,0),),C218)=0,"",INDEX(CNTR_IOProcAndPrec,MATCH(C218,INDEX(CNTR_IOSupplyChain,MATCH(D195,CNTR_IOProcAndPrec,0),),0))))</f>
        <v/>
      </c>
      <c r="E218" s="1245"/>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x14ac:dyDescent="0.25">
      <c r="C219" s="262">
        <v>21</v>
      </c>
      <c r="D219" s="1244" t="str">
        <f>IF(D195="","",IF(COUNTIF(INDEX(CNTR_IOSupplyChain,MATCH(D195,CNTR_IOProcAndPrec,0),),C219)=0,"",INDEX(CNTR_IOProcAndPrec,MATCH(C219,INDEX(CNTR_IOSupplyChain,MATCH(D195,CNTR_IOProcAndPrec,0),),0))))</f>
        <v/>
      </c>
      <c r="E219" s="1245"/>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x14ac:dyDescent="0.25">
      <c r="C220" s="262">
        <v>22</v>
      </c>
      <c r="D220" s="1244" t="str">
        <f>IF(D195="","",IF(COUNTIF(INDEX(CNTR_IOSupplyChain,MATCH(D195,CNTR_IOProcAndPrec,0),),C220)=0,"",INDEX(CNTR_IOProcAndPrec,MATCH(C220,INDEX(CNTR_IOSupplyChain,MATCH(D195,CNTR_IOProcAndPrec,0),),0))))</f>
        <v/>
      </c>
      <c r="E220" s="1245"/>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x14ac:dyDescent="0.25">
      <c r="C221" s="262">
        <v>23</v>
      </c>
      <c r="D221" s="1244" t="str">
        <f>IF(D195="","",IF(COUNTIF(INDEX(CNTR_IOSupplyChain,MATCH(D195,CNTR_IOProcAndPrec,0),),C221)=0,"",INDEX(CNTR_IOProcAndPrec,MATCH(C221,INDEX(CNTR_IOSupplyChain,MATCH(D195,CNTR_IOProcAndPrec,0),),0))))</f>
        <v/>
      </c>
      <c r="E221" s="1245"/>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x14ac:dyDescent="0.25">
      <c r="C222" s="262">
        <v>24</v>
      </c>
      <c r="D222" s="1244" t="str">
        <f>IF(D195="","",IF(COUNTIF(INDEX(CNTR_IOSupplyChain,MATCH(D195,CNTR_IOProcAndPrec,0),),C222)=0,"",INDEX(CNTR_IOProcAndPrec,MATCH(C222,INDEX(CNTR_IOSupplyChain,MATCH(D195,CNTR_IOProcAndPrec,0),),0))))</f>
        <v/>
      </c>
      <c r="E222" s="1245"/>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x14ac:dyDescent="0.25">
      <c r="C223" s="262">
        <v>25</v>
      </c>
      <c r="D223" s="1244" t="str">
        <f>IF(D195="","",IF(COUNTIF(INDEX(CNTR_IOSupplyChain,MATCH(D195,CNTR_IOProcAndPrec,0),),C223)=0,"",INDEX(CNTR_IOProcAndPrec,MATCH(C223,INDEX(CNTR_IOSupplyChain,MATCH(D195,CNTR_IOProcAndPrec,0),),0))))</f>
        <v/>
      </c>
      <c r="E223" s="1245"/>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x14ac:dyDescent="0.25">
      <c r="C224" s="262">
        <v>26</v>
      </c>
      <c r="D224" s="1244" t="str">
        <f>IF(D195="","",IF(COUNTIF(INDEX(CNTR_IOSupplyChain,MATCH(D195,CNTR_IOProcAndPrec,0),),C224)=0,"",INDEX(CNTR_IOProcAndPrec,MATCH(C224,INDEX(CNTR_IOSupplyChain,MATCH(D195,CNTR_IOProcAndPrec,0),),0))))</f>
        <v/>
      </c>
      <c r="E224" s="1245"/>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x14ac:dyDescent="0.25">
      <c r="C225" s="262">
        <v>27</v>
      </c>
      <c r="D225" s="1244" t="str">
        <f>IF(D195="","",IF(COUNTIF(INDEX(CNTR_IOSupplyChain,MATCH(D195,CNTR_IOProcAndPrec,0),),C225)=0,"",INDEX(CNTR_IOProcAndPrec,MATCH(C225,INDEX(CNTR_IOSupplyChain,MATCH(D195,CNTR_IOProcAndPrec,0),),0))))</f>
        <v/>
      </c>
      <c r="E225" s="1245"/>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x14ac:dyDescent="0.25">
      <c r="C226" s="262">
        <v>28</v>
      </c>
      <c r="D226" s="1244" t="str">
        <f>IF(D195="","",IF(COUNTIF(INDEX(CNTR_IOSupplyChain,MATCH(D195,CNTR_IOProcAndPrec,0),),C226)=0,"",INDEX(CNTR_IOProcAndPrec,MATCH(C226,INDEX(CNTR_IOSupplyChain,MATCH(D195,CNTR_IOProcAndPrec,0),),0))))</f>
        <v/>
      </c>
      <c r="E226" s="1245"/>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x14ac:dyDescent="0.25">
      <c r="C227" s="262">
        <v>29</v>
      </c>
      <c r="D227" s="1244" t="str">
        <f>IF(D195="","",IF(COUNTIF(INDEX(CNTR_IOSupplyChain,MATCH(D195,CNTR_IOProcAndPrec,0),),C227)=0,"",INDEX(CNTR_IOProcAndPrec,MATCH(C227,INDEX(CNTR_IOSupplyChain,MATCH(D195,CNTR_IOProcAndPrec,0),),0))))</f>
        <v/>
      </c>
      <c r="E227" s="1245"/>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x14ac:dyDescent="0.3">
      <c r="C228" s="262">
        <v>30</v>
      </c>
      <c r="D228" s="1277" t="str">
        <f>IF(D195="","",IF(COUNTIF(INDEX(CNTR_IOSupplyChain,MATCH(D195,CNTR_IOProcAndPrec,0),),C228)=0,"",INDEX(CNTR_IOProcAndPrec,MATCH(C228,INDEX(CNTR_IOSupplyChain,MATCH(D195,CNTR_IOProcAndPrec,0),),0))))</f>
        <v/>
      </c>
      <c r="E228" s="1278"/>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x14ac:dyDescent="0.3">
      <c r="I229" s="799"/>
      <c r="J229" s="799"/>
      <c r="K229" s="799"/>
      <c r="P229" s="799"/>
    </row>
    <row r="230" spans="1:41" ht="12.75" customHeight="1" thickBot="1" x14ac:dyDescent="0.3">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x14ac:dyDescent="0.25">
      <c r="A231" s="251"/>
      <c r="C231" s="1239">
        <f>C195+1</f>
        <v>3</v>
      </c>
      <c r="D231" s="1246" t="str">
        <f>IF(INDEX(CNTR_List_ExistProdProcNames,C231)=CONST_NA,"",INDEX(CNTR_List_ExistProdProcNames,C231))</f>
        <v/>
      </c>
      <c r="E231" s="1247"/>
      <c r="F231" s="1250" t="str">
        <f>Translations!$B$107</f>
        <v>Aggregated goods category</v>
      </c>
      <c r="G231" s="253" t="str">
        <f>Translations!$B$584</f>
        <v>Mass share</v>
      </c>
      <c r="H231" s="1252"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52" t="str">
        <f>Translations!$B$594</f>
        <v>Source of electricity EF</v>
      </c>
      <c r="P231" s="801" t="str">
        <f>Translations!$B$597</f>
        <v>Specific electricity</v>
      </c>
      <c r="Q231" s="1237" t="s">
        <v>1295</v>
      </c>
      <c r="R231" s="1271" t="str">
        <f>Translations!$B$351</f>
        <v>CP due (per t or MWh)</v>
      </c>
      <c r="S231" s="1273"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x14ac:dyDescent="0.3">
      <c r="A232" s="251"/>
      <c r="C232" s="1240"/>
      <c r="D232" s="1248"/>
      <c r="E232" s="1249"/>
      <c r="F232" s="1251"/>
      <c r="G232" s="254" t="str">
        <f>IF($F233="",CONST_t,INDEX(CONST_LIST_GoodsUnit,MATCH($F233,CONST_LIST_Goods,0))) &amp;"/"&amp; IF($F233="",CONST_t,INDEX(CONST_LIST_GoodsUnit,MATCH($F233,CONST_LIST_Goods,0)))</f>
        <v>t/t</v>
      </c>
      <c r="H232" s="1253"/>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53"/>
      <c r="P232" s="802" t="str">
        <f>CONST_MWh &amp; "/" &amp; IF($F233="",CONST_t,INDEX(CONST_LIST_GoodsUnit,MATCH($F233,CONST_LIST_Goods,0)))</f>
        <v>MWh/t</v>
      </c>
      <c r="Q232" s="1238"/>
      <c r="R232" s="1272"/>
      <c r="S232" s="1274"/>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x14ac:dyDescent="0.3">
      <c r="C233" s="1241"/>
      <c r="D233" s="1254" t="str">
        <f>Translations!$B$600</f>
        <v>Total production process</v>
      </c>
      <c r="E233" s="1255"/>
      <c r="F233" s="256" t="str">
        <f>IF(D234="","",INDEX(CNTR_List_ExistProdProc,MATCH(D234,CNTR_List_ExistProdProcNames,0)))</f>
        <v/>
      </c>
      <c r="G233" s="257" t="s">
        <v>1329</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1329</v>
      </c>
      <c r="P233" s="795" t="str">
        <f>IF(COUNT(P234:P264)&gt;0,SUM(P234:P264),"")</f>
        <v/>
      </c>
      <c r="Q233" s="810" t="s">
        <v>1329</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1355</v>
      </c>
    </row>
    <row r="234" spans="1:41" ht="12.75" customHeight="1" thickBot="1" x14ac:dyDescent="0.3">
      <c r="D234" s="1269" t="str">
        <f>D231</f>
        <v/>
      </c>
      <c r="E234" s="1270"/>
      <c r="F234" s="286" t="str">
        <f>IF(D234="","",INDEX(CNTR_List_ExistProdProc,MATCH(D234,CNTR_List_ExistProdProcNames,0)))</f>
        <v/>
      </c>
      <c r="G234" s="259">
        <v>1</v>
      </c>
      <c r="H234" s="287" t="s">
        <v>1329</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x14ac:dyDescent="0.25">
      <c r="C235" s="262">
        <v>1</v>
      </c>
      <c r="D235" s="1242" t="str">
        <f>IF(D231="","",IF(COUNTIF(INDEX(CNTR_IOSupplyChain,MATCH(D231,CNTR_IOProcAndPrec,0),),C235)=0,"",INDEX(CNTR_IOProcAndPrec,MATCH(C235,INDEX(CNTR_IOSupplyChain,MATCH(D231,CNTR_IOProcAndPrec,0),),0))))</f>
        <v/>
      </c>
      <c r="E235" s="1243"/>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x14ac:dyDescent="0.25">
      <c r="C236" s="262">
        <v>2</v>
      </c>
      <c r="D236" s="1244" t="str">
        <f>IF(D231="","",IF(COUNTIF(INDEX(CNTR_IOSupplyChain,MATCH(D231,CNTR_IOProcAndPrec,0),),C236)=0,"",INDEX(CNTR_IOProcAndPrec,MATCH(C236,INDEX(CNTR_IOSupplyChain,MATCH(D231,CNTR_IOProcAndPrec,0),),0))))</f>
        <v/>
      </c>
      <c r="E236" s="1245"/>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x14ac:dyDescent="0.25">
      <c r="C237" s="262">
        <v>3</v>
      </c>
      <c r="D237" s="1244" t="str">
        <f>IF(D231="","",IF(COUNTIF(INDEX(CNTR_IOSupplyChain,MATCH(D231,CNTR_IOProcAndPrec,0),),C237)=0,"",INDEX(CNTR_IOProcAndPrec,MATCH(C237,INDEX(CNTR_IOSupplyChain,MATCH(D231,CNTR_IOProcAndPrec,0),),0))))</f>
        <v/>
      </c>
      <c r="E237" s="1245"/>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x14ac:dyDescent="0.25">
      <c r="C238" s="262">
        <v>4</v>
      </c>
      <c r="D238" s="1244" t="str">
        <f>IF(D231="","",IF(COUNTIF(INDEX(CNTR_IOSupplyChain,MATCH(D231,CNTR_IOProcAndPrec,0),),C238)=0,"",INDEX(CNTR_IOProcAndPrec,MATCH(C238,INDEX(CNTR_IOSupplyChain,MATCH(D231,CNTR_IOProcAndPrec,0),),0))))</f>
        <v/>
      </c>
      <c r="E238" s="1245"/>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x14ac:dyDescent="0.25">
      <c r="C239" s="262">
        <v>5</v>
      </c>
      <c r="D239" s="1244" t="str">
        <f>IF(D231="","",IF(COUNTIF(INDEX(CNTR_IOSupplyChain,MATCH(D231,CNTR_IOProcAndPrec,0),),C239)=0,"",INDEX(CNTR_IOProcAndPrec,MATCH(C239,INDEX(CNTR_IOSupplyChain,MATCH(D231,CNTR_IOProcAndPrec,0),),0))))</f>
        <v/>
      </c>
      <c r="E239" s="1245"/>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x14ac:dyDescent="0.25">
      <c r="C240" s="262">
        <v>6</v>
      </c>
      <c r="D240" s="1244" t="str">
        <f>IF(D231="","",IF(COUNTIF(INDEX(CNTR_IOSupplyChain,MATCH(D231,CNTR_IOProcAndPrec,0),),C240)=0,"",INDEX(CNTR_IOProcAndPrec,MATCH(C240,INDEX(CNTR_IOSupplyChain,MATCH(D231,CNTR_IOProcAndPrec,0),),0))))</f>
        <v/>
      </c>
      <c r="E240" s="1245"/>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x14ac:dyDescent="0.25">
      <c r="C241" s="262">
        <v>7</v>
      </c>
      <c r="D241" s="1244" t="str">
        <f>IF(D231="","",IF(COUNTIF(INDEX(CNTR_IOSupplyChain,MATCH(D231,CNTR_IOProcAndPrec,0),),C241)=0,"",INDEX(CNTR_IOProcAndPrec,MATCH(C241,INDEX(CNTR_IOSupplyChain,MATCH(D231,CNTR_IOProcAndPrec,0),),0))))</f>
        <v/>
      </c>
      <c r="E241" s="1245"/>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x14ac:dyDescent="0.25">
      <c r="C242" s="262">
        <v>8</v>
      </c>
      <c r="D242" s="1244" t="str">
        <f>IF(D231="","",IF(COUNTIF(INDEX(CNTR_IOSupplyChain,MATCH(D231,CNTR_IOProcAndPrec,0),),C242)=0,"",INDEX(CNTR_IOProcAndPrec,MATCH(C242,INDEX(CNTR_IOSupplyChain,MATCH(D231,CNTR_IOProcAndPrec,0),),0))))</f>
        <v/>
      </c>
      <c r="E242" s="1245"/>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x14ac:dyDescent="0.25">
      <c r="C243" s="262">
        <v>9</v>
      </c>
      <c r="D243" s="1244" t="str">
        <f>IF(D231="","",IF(COUNTIF(INDEX(CNTR_IOSupplyChain,MATCH(D231,CNTR_IOProcAndPrec,0),),C243)=0,"",INDEX(CNTR_IOProcAndPrec,MATCH(C243,INDEX(CNTR_IOSupplyChain,MATCH(D231,CNTR_IOProcAndPrec,0),),0))))</f>
        <v/>
      </c>
      <c r="E243" s="1245"/>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x14ac:dyDescent="0.25">
      <c r="C244" s="262">
        <v>10</v>
      </c>
      <c r="D244" s="1244" t="str">
        <f>IF(D231="","",IF(COUNTIF(INDEX(CNTR_IOSupplyChain,MATCH(D231,CNTR_IOProcAndPrec,0),),C244)=0,"",INDEX(CNTR_IOProcAndPrec,MATCH(C244,INDEX(CNTR_IOSupplyChain,MATCH(D231,CNTR_IOProcAndPrec,0),),0))))</f>
        <v/>
      </c>
      <c r="E244" s="1245"/>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x14ac:dyDescent="0.25">
      <c r="C245" s="262">
        <v>11</v>
      </c>
      <c r="D245" s="1244" t="str">
        <f>IF(D231="","",IF(COUNTIF(INDEX(CNTR_IOSupplyChain,MATCH(D231,CNTR_IOProcAndPrec,0),),C245)=0,"",INDEX(CNTR_IOProcAndPrec,MATCH(C245,INDEX(CNTR_IOSupplyChain,MATCH(D231,CNTR_IOProcAndPrec,0),),0))))</f>
        <v/>
      </c>
      <c r="E245" s="1245"/>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x14ac:dyDescent="0.25">
      <c r="C246" s="262">
        <v>12</v>
      </c>
      <c r="D246" s="1244" t="str">
        <f>IF(D231="","",IF(COUNTIF(INDEX(CNTR_IOSupplyChain,MATCH(D231,CNTR_IOProcAndPrec,0),),C246)=0,"",INDEX(CNTR_IOProcAndPrec,MATCH(C246,INDEX(CNTR_IOSupplyChain,MATCH(D231,CNTR_IOProcAndPrec,0),),0))))</f>
        <v/>
      </c>
      <c r="E246" s="1245"/>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x14ac:dyDescent="0.25">
      <c r="C247" s="262">
        <v>13</v>
      </c>
      <c r="D247" s="1244" t="str">
        <f>IF(D231="","",IF(COUNTIF(INDEX(CNTR_IOSupplyChain,MATCH(D231,CNTR_IOProcAndPrec,0),),C247)=0,"",INDEX(CNTR_IOProcAndPrec,MATCH(C247,INDEX(CNTR_IOSupplyChain,MATCH(D231,CNTR_IOProcAndPrec,0),),0))))</f>
        <v/>
      </c>
      <c r="E247" s="1245"/>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x14ac:dyDescent="0.25">
      <c r="C248" s="262">
        <v>14</v>
      </c>
      <c r="D248" s="1244" t="str">
        <f>IF(D231="","",IF(COUNTIF(INDEX(CNTR_IOSupplyChain,MATCH(D231,CNTR_IOProcAndPrec,0),),C248)=0,"",INDEX(CNTR_IOProcAndPrec,MATCH(C248,INDEX(CNTR_IOSupplyChain,MATCH(D231,CNTR_IOProcAndPrec,0),),0))))</f>
        <v/>
      </c>
      <c r="E248" s="1245"/>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x14ac:dyDescent="0.25">
      <c r="C249" s="262">
        <v>15</v>
      </c>
      <c r="D249" s="1244" t="str">
        <f>IF(D231="","",IF(COUNTIF(INDEX(CNTR_IOSupplyChain,MATCH(D231,CNTR_IOProcAndPrec,0),),C249)=0,"",INDEX(CNTR_IOProcAndPrec,MATCH(C249,INDEX(CNTR_IOSupplyChain,MATCH(D231,CNTR_IOProcAndPrec,0),),0))))</f>
        <v/>
      </c>
      <c r="E249" s="1245"/>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x14ac:dyDescent="0.25">
      <c r="C250" s="262">
        <v>16</v>
      </c>
      <c r="D250" s="1244" t="str">
        <f>IF(D231="","",IF(COUNTIF(INDEX(CNTR_IOSupplyChain,MATCH(D231,CNTR_IOProcAndPrec,0),),C250)=0,"",INDEX(CNTR_IOProcAndPrec,MATCH(C250,INDEX(CNTR_IOSupplyChain,MATCH(D231,CNTR_IOProcAndPrec,0),),0))))</f>
        <v/>
      </c>
      <c r="E250" s="1245"/>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x14ac:dyDescent="0.25">
      <c r="C251" s="262">
        <v>17</v>
      </c>
      <c r="D251" s="1244" t="str">
        <f>IF(D231="","",IF(COUNTIF(INDEX(CNTR_IOSupplyChain,MATCH(D231,CNTR_IOProcAndPrec,0),),C251)=0,"",INDEX(CNTR_IOProcAndPrec,MATCH(C251,INDEX(CNTR_IOSupplyChain,MATCH(D231,CNTR_IOProcAndPrec,0),),0))))</f>
        <v/>
      </c>
      <c r="E251" s="1245"/>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x14ac:dyDescent="0.25">
      <c r="C252" s="262">
        <v>18</v>
      </c>
      <c r="D252" s="1244" t="str">
        <f>IF(D231="","",IF(COUNTIF(INDEX(CNTR_IOSupplyChain,MATCH(D231,CNTR_IOProcAndPrec,0),),C252)=0,"",INDEX(CNTR_IOProcAndPrec,MATCH(C252,INDEX(CNTR_IOSupplyChain,MATCH(D231,CNTR_IOProcAndPrec,0),),0))))</f>
        <v/>
      </c>
      <c r="E252" s="1245"/>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x14ac:dyDescent="0.25">
      <c r="C253" s="262">
        <v>19</v>
      </c>
      <c r="D253" s="1244" t="str">
        <f>IF(D231="","",IF(COUNTIF(INDEX(CNTR_IOSupplyChain,MATCH(D231,CNTR_IOProcAndPrec,0),),C253)=0,"",INDEX(CNTR_IOProcAndPrec,MATCH(C253,INDEX(CNTR_IOSupplyChain,MATCH(D231,CNTR_IOProcAndPrec,0),),0))))</f>
        <v/>
      </c>
      <c r="E253" s="1245"/>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x14ac:dyDescent="0.25">
      <c r="C254" s="262">
        <v>20</v>
      </c>
      <c r="D254" s="1244" t="str">
        <f>IF(D231="","",IF(COUNTIF(INDEX(CNTR_IOSupplyChain,MATCH(D231,CNTR_IOProcAndPrec,0),),C254)=0,"",INDEX(CNTR_IOProcAndPrec,MATCH(C254,INDEX(CNTR_IOSupplyChain,MATCH(D231,CNTR_IOProcAndPrec,0),),0))))</f>
        <v/>
      </c>
      <c r="E254" s="1245"/>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x14ac:dyDescent="0.25">
      <c r="C255" s="262">
        <v>21</v>
      </c>
      <c r="D255" s="1244" t="str">
        <f>IF(D231="","",IF(COUNTIF(INDEX(CNTR_IOSupplyChain,MATCH(D231,CNTR_IOProcAndPrec,0),),C255)=0,"",INDEX(CNTR_IOProcAndPrec,MATCH(C255,INDEX(CNTR_IOSupplyChain,MATCH(D231,CNTR_IOProcAndPrec,0),),0))))</f>
        <v/>
      </c>
      <c r="E255" s="1245"/>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x14ac:dyDescent="0.25">
      <c r="C256" s="262">
        <v>22</v>
      </c>
      <c r="D256" s="1244" t="str">
        <f>IF(D231="","",IF(COUNTIF(INDEX(CNTR_IOSupplyChain,MATCH(D231,CNTR_IOProcAndPrec,0),),C256)=0,"",INDEX(CNTR_IOProcAndPrec,MATCH(C256,INDEX(CNTR_IOSupplyChain,MATCH(D231,CNTR_IOProcAndPrec,0),),0))))</f>
        <v/>
      </c>
      <c r="E256" s="1245"/>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x14ac:dyDescent="0.25">
      <c r="C257" s="262">
        <v>23</v>
      </c>
      <c r="D257" s="1244" t="str">
        <f>IF(D231="","",IF(COUNTIF(INDEX(CNTR_IOSupplyChain,MATCH(D231,CNTR_IOProcAndPrec,0),),C257)=0,"",INDEX(CNTR_IOProcAndPrec,MATCH(C257,INDEX(CNTR_IOSupplyChain,MATCH(D231,CNTR_IOProcAndPrec,0),),0))))</f>
        <v/>
      </c>
      <c r="E257" s="1245"/>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x14ac:dyDescent="0.25">
      <c r="C258" s="262">
        <v>24</v>
      </c>
      <c r="D258" s="1244" t="str">
        <f>IF(D231="","",IF(COUNTIF(INDEX(CNTR_IOSupplyChain,MATCH(D231,CNTR_IOProcAndPrec,0),),C258)=0,"",INDEX(CNTR_IOProcAndPrec,MATCH(C258,INDEX(CNTR_IOSupplyChain,MATCH(D231,CNTR_IOProcAndPrec,0),),0))))</f>
        <v/>
      </c>
      <c r="E258" s="1245"/>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x14ac:dyDescent="0.25">
      <c r="C259" s="262">
        <v>25</v>
      </c>
      <c r="D259" s="1244" t="str">
        <f>IF(D231="","",IF(COUNTIF(INDEX(CNTR_IOSupplyChain,MATCH(D231,CNTR_IOProcAndPrec,0),),C259)=0,"",INDEX(CNTR_IOProcAndPrec,MATCH(C259,INDEX(CNTR_IOSupplyChain,MATCH(D231,CNTR_IOProcAndPrec,0),),0))))</f>
        <v/>
      </c>
      <c r="E259" s="1245"/>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x14ac:dyDescent="0.25">
      <c r="C260" s="262">
        <v>26</v>
      </c>
      <c r="D260" s="1244" t="str">
        <f>IF(D231="","",IF(COUNTIF(INDEX(CNTR_IOSupplyChain,MATCH(D231,CNTR_IOProcAndPrec,0),),C260)=0,"",INDEX(CNTR_IOProcAndPrec,MATCH(C260,INDEX(CNTR_IOSupplyChain,MATCH(D231,CNTR_IOProcAndPrec,0),),0))))</f>
        <v/>
      </c>
      <c r="E260" s="1245"/>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x14ac:dyDescent="0.25">
      <c r="C261" s="262">
        <v>27</v>
      </c>
      <c r="D261" s="1244" t="str">
        <f>IF(D231="","",IF(COUNTIF(INDEX(CNTR_IOSupplyChain,MATCH(D231,CNTR_IOProcAndPrec,0),),C261)=0,"",INDEX(CNTR_IOProcAndPrec,MATCH(C261,INDEX(CNTR_IOSupplyChain,MATCH(D231,CNTR_IOProcAndPrec,0),),0))))</f>
        <v/>
      </c>
      <c r="E261" s="1245"/>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x14ac:dyDescent="0.25">
      <c r="C262" s="262">
        <v>28</v>
      </c>
      <c r="D262" s="1244" t="str">
        <f>IF(D231="","",IF(COUNTIF(INDEX(CNTR_IOSupplyChain,MATCH(D231,CNTR_IOProcAndPrec,0),),C262)=0,"",INDEX(CNTR_IOProcAndPrec,MATCH(C262,INDEX(CNTR_IOSupplyChain,MATCH(D231,CNTR_IOProcAndPrec,0),),0))))</f>
        <v/>
      </c>
      <c r="E262" s="1245"/>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x14ac:dyDescent="0.25">
      <c r="C263" s="262">
        <v>29</v>
      </c>
      <c r="D263" s="1244" t="str">
        <f>IF(D231="","",IF(COUNTIF(INDEX(CNTR_IOSupplyChain,MATCH(D231,CNTR_IOProcAndPrec,0),),C263)=0,"",INDEX(CNTR_IOProcAndPrec,MATCH(C263,INDEX(CNTR_IOSupplyChain,MATCH(D231,CNTR_IOProcAndPrec,0),),0))))</f>
        <v/>
      </c>
      <c r="E263" s="1245"/>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x14ac:dyDescent="0.3">
      <c r="C264" s="262">
        <v>30</v>
      </c>
      <c r="D264" s="1277" t="str">
        <f>IF(D231="","",IF(COUNTIF(INDEX(CNTR_IOSupplyChain,MATCH(D231,CNTR_IOProcAndPrec,0),),C264)=0,"",INDEX(CNTR_IOProcAndPrec,MATCH(C264,INDEX(CNTR_IOSupplyChain,MATCH(D231,CNTR_IOProcAndPrec,0),),0))))</f>
        <v/>
      </c>
      <c r="E264" s="1278"/>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x14ac:dyDescent="0.3">
      <c r="I265" s="799"/>
      <c r="J265" s="799"/>
      <c r="K265" s="799"/>
      <c r="P265" s="799"/>
    </row>
    <row r="266" spans="1:41" ht="12.75" customHeight="1" thickBot="1" x14ac:dyDescent="0.3">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x14ac:dyDescent="0.25">
      <c r="A267" s="251"/>
      <c r="C267" s="1239">
        <f>C231+1</f>
        <v>4</v>
      </c>
      <c r="D267" s="1246" t="str">
        <f>IF(INDEX(CNTR_List_ExistProdProcNames,C267)=CONST_NA,"",INDEX(CNTR_List_ExistProdProcNames,C267))</f>
        <v/>
      </c>
      <c r="E267" s="1247"/>
      <c r="F267" s="1250" t="str">
        <f>Translations!$B$107</f>
        <v>Aggregated goods category</v>
      </c>
      <c r="G267" s="253" t="str">
        <f>Translations!$B$584</f>
        <v>Mass share</v>
      </c>
      <c r="H267" s="1252"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52" t="str">
        <f>Translations!$B$594</f>
        <v>Source of electricity EF</v>
      </c>
      <c r="P267" s="801" t="str">
        <f>Translations!$B$597</f>
        <v>Specific electricity</v>
      </c>
      <c r="Q267" s="1237" t="s">
        <v>1295</v>
      </c>
      <c r="R267" s="1271" t="str">
        <f>Translations!$B$351</f>
        <v>CP due (per t or MWh)</v>
      </c>
      <c r="S267" s="1273"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x14ac:dyDescent="0.3">
      <c r="A268" s="251"/>
      <c r="C268" s="1240"/>
      <c r="D268" s="1248"/>
      <c r="E268" s="1249"/>
      <c r="F268" s="1251"/>
      <c r="G268" s="254" t="str">
        <f>IF($F269="",CONST_t,INDEX(CONST_LIST_GoodsUnit,MATCH($F269,CONST_LIST_Goods,0))) &amp;"/"&amp; IF($F269="",CONST_t,INDEX(CONST_LIST_GoodsUnit,MATCH($F269,CONST_LIST_Goods,0)))</f>
        <v>t/t</v>
      </c>
      <c r="H268" s="1253"/>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53"/>
      <c r="P268" s="802" t="str">
        <f>CONST_MWh &amp; "/" &amp; IF($F269="",CONST_t,INDEX(CONST_LIST_GoodsUnit,MATCH($F269,CONST_LIST_Goods,0)))</f>
        <v>MWh/t</v>
      </c>
      <c r="Q268" s="1238"/>
      <c r="R268" s="1272"/>
      <c r="S268" s="1274"/>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x14ac:dyDescent="0.3">
      <c r="C269" s="1241"/>
      <c r="D269" s="1254" t="str">
        <f>Translations!$B$600</f>
        <v>Total production process</v>
      </c>
      <c r="E269" s="1255"/>
      <c r="F269" s="256" t="str">
        <f>IF(D270="","",INDEX(CNTR_List_ExistProdProc,MATCH(D270,CNTR_List_ExistProdProcNames,0)))</f>
        <v/>
      </c>
      <c r="G269" s="257" t="s">
        <v>1329</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1329</v>
      </c>
      <c r="P269" s="795" t="str">
        <f>IF(COUNT(P270:P300)&gt;0,SUM(P270:P300),"")</f>
        <v/>
      </c>
      <c r="Q269" s="810" t="s">
        <v>1329</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1355</v>
      </c>
    </row>
    <row r="270" spans="1:41" ht="12.75" customHeight="1" thickBot="1" x14ac:dyDescent="0.3">
      <c r="D270" s="1269" t="str">
        <f>D267</f>
        <v/>
      </c>
      <c r="E270" s="1270"/>
      <c r="F270" s="286" t="str">
        <f>IF(D270="","",INDEX(CNTR_List_ExistProdProc,MATCH(D270,CNTR_List_ExistProdProcNames,0)))</f>
        <v/>
      </c>
      <c r="G270" s="259">
        <v>1</v>
      </c>
      <c r="H270" s="287" t="s">
        <v>1329</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x14ac:dyDescent="0.25">
      <c r="C271" s="262">
        <v>1</v>
      </c>
      <c r="D271" s="1242" t="str">
        <f>IF(D267="","",IF(COUNTIF(INDEX(CNTR_IOSupplyChain,MATCH(D267,CNTR_IOProcAndPrec,0),),C271)=0,"",INDEX(CNTR_IOProcAndPrec,MATCH(C271,INDEX(CNTR_IOSupplyChain,MATCH(D267,CNTR_IOProcAndPrec,0),),0))))</f>
        <v/>
      </c>
      <c r="E271" s="1243"/>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x14ac:dyDescent="0.25">
      <c r="C272" s="262">
        <v>2</v>
      </c>
      <c r="D272" s="1244" t="str">
        <f>IF(D267="","",IF(COUNTIF(INDEX(CNTR_IOSupplyChain,MATCH(D267,CNTR_IOProcAndPrec,0),),C272)=0,"",INDEX(CNTR_IOProcAndPrec,MATCH(C272,INDEX(CNTR_IOSupplyChain,MATCH(D267,CNTR_IOProcAndPrec,0),),0))))</f>
        <v/>
      </c>
      <c r="E272" s="1245"/>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x14ac:dyDescent="0.25">
      <c r="C273" s="262">
        <v>3</v>
      </c>
      <c r="D273" s="1244" t="str">
        <f>IF(D267="","",IF(COUNTIF(INDEX(CNTR_IOSupplyChain,MATCH(D267,CNTR_IOProcAndPrec,0),),C273)=0,"",INDEX(CNTR_IOProcAndPrec,MATCH(C273,INDEX(CNTR_IOSupplyChain,MATCH(D267,CNTR_IOProcAndPrec,0),),0))))</f>
        <v/>
      </c>
      <c r="E273" s="1245"/>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x14ac:dyDescent="0.25">
      <c r="C274" s="262">
        <v>4</v>
      </c>
      <c r="D274" s="1244" t="str">
        <f>IF(D267="","",IF(COUNTIF(INDEX(CNTR_IOSupplyChain,MATCH(D267,CNTR_IOProcAndPrec,0),),C274)=0,"",INDEX(CNTR_IOProcAndPrec,MATCH(C274,INDEX(CNTR_IOSupplyChain,MATCH(D267,CNTR_IOProcAndPrec,0),),0))))</f>
        <v/>
      </c>
      <c r="E274" s="1245"/>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x14ac:dyDescent="0.25">
      <c r="C275" s="262">
        <v>5</v>
      </c>
      <c r="D275" s="1244" t="str">
        <f>IF(D267="","",IF(COUNTIF(INDEX(CNTR_IOSupplyChain,MATCH(D267,CNTR_IOProcAndPrec,0),),C275)=0,"",INDEX(CNTR_IOProcAndPrec,MATCH(C275,INDEX(CNTR_IOSupplyChain,MATCH(D267,CNTR_IOProcAndPrec,0),),0))))</f>
        <v/>
      </c>
      <c r="E275" s="1245"/>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x14ac:dyDescent="0.25">
      <c r="C276" s="262">
        <v>6</v>
      </c>
      <c r="D276" s="1244" t="str">
        <f>IF(D267="","",IF(COUNTIF(INDEX(CNTR_IOSupplyChain,MATCH(D267,CNTR_IOProcAndPrec,0),),C276)=0,"",INDEX(CNTR_IOProcAndPrec,MATCH(C276,INDEX(CNTR_IOSupplyChain,MATCH(D267,CNTR_IOProcAndPrec,0),),0))))</f>
        <v/>
      </c>
      <c r="E276" s="1245"/>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x14ac:dyDescent="0.25">
      <c r="C277" s="262">
        <v>7</v>
      </c>
      <c r="D277" s="1244" t="str">
        <f>IF(D267="","",IF(COUNTIF(INDEX(CNTR_IOSupplyChain,MATCH(D267,CNTR_IOProcAndPrec,0),),C277)=0,"",INDEX(CNTR_IOProcAndPrec,MATCH(C277,INDEX(CNTR_IOSupplyChain,MATCH(D267,CNTR_IOProcAndPrec,0),),0))))</f>
        <v/>
      </c>
      <c r="E277" s="1245"/>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x14ac:dyDescent="0.25">
      <c r="C278" s="262">
        <v>8</v>
      </c>
      <c r="D278" s="1244" t="str">
        <f>IF(D267="","",IF(COUNTIF(INDEX(CNTR_IOSupplyChain,MATCH(D267,CNTR_IOProcAndPrec,0),),C278)=0,"",INDEX(CNTR_IOProcAndPrec,MATCH(C278,INDEX(CNTR_IOSupplyChain,MATCH(D267,CNTR_IOProcAndPrec,0),),0))))</f>
        <v/>
      </c>
      <c r="E278" s="1245"/>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x14ac:dyDescent="0.25">
      <c r="C279" s="262">
        <v>9</v>
      </c>
      <c r="D279" s="1244" t="str">
        <f>IF(D267="","",IF(COUNTIF(INDEX(CNTR_IOSupplyChain,MATCH(D267,CNTR_IOProcAndPrec,0),),C279)=0,"",INDEX(CNTR_IOProcAndPrec,MATCH(C279,INDEX(CNTR_IOSupplyChain,MATCH(D267,CNTR_IOProcAndPrec,0),),0))))</f>
        <v/>
      </c>
      <c r="E279" s="1245"/>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x14ac:dyDescent="0.25">
      <c r="C280" s="262">
        <v>10</v>
      </c>
      <c r="D280" s="1244" t="str">
        <f>IF(D267="","",IF(COUNTIF(INDEX(CNTR_IOSupplyChain,MATCH(D267,CNTR_IOProcAndPrec,0),),C280)=0,"",INDEX(CNTR_IOProcAndPrec,MATCH(C280,INDEX(CNTR_IOSupplyChain,MATCH(D267,CNTR_IOProcAndPrec,0),),0))))</f>
        <v/>
      </c>
      <c r="E280" s="1245"/>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x14ac:dyDescent="0.25">
      <c r="C281" s="262">
        <v>11</v>
      </c>
      <c r="D281" s="1244" t="str">
        <f>IF(D267="","",IF(COUNTIF(INDEX(CNTR_IOSupplyChain,MATCH(D267,CNTR_IOProcAndPrec,0),),C281)=0,"",INDEX(CNTR_IOProcAndPrec,MATCH(C281,INDEX(CNTR_IOSupplyChain,MATCH(D267,CNTR_IOProcAndPrec,0),),0))))</f>
        <v/>
      </c>
      <c r="E281" s="1245"/>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x14ac:dyDescent="0.25">
      <c r="C282" s="262">
        <v>12</v>
      </c>
      <c r="D282" s="1244" t="str">
        <f>IF(D267="","",IF(COUNTIF(INDEX(CNTR_IOSupplyChain,MATCH(D267,CNTR_IOProcAndPrec,0),),C282)=0,"",INDEX(CNTR_IOProcAndPrec,MATCH(C282,INDEX(CNTR_IOSupplyChain,MATCH(D267,CNTR_IOProcAndPrec,0),),0))))</f>
        <v/>
      </c>
      <c r="E282" s="1245"/>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x14ac:dyDescent="0.25">
      <c r="C283" s="262">
        <v>13</v>
      </c>
      <c r="D283" s="1244" t="str">
        <f>IF(D267="","",IF(COUNTIF(INDEX(CNTR_IOSupplyChain,MATCH(D267,CNTR_IOProcAndPrec,0),),C283)=0,"",INDEX(CNTR_IOProcAndPrec,MATCH(C283,INDEX(CNTR_IOSupplyChain,MATCH(D267,CNTR_IOProcAndPrec,0),),0))))</f>
        <v/>
      </c>
      <c r="E283" s="1245"/>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x14ac:dyDescent="0.25">
      <c r="C284" s="262">
        <v>14</v>
      </c>
      <c r="D284" s="1244" t="str">
        <f>IF(D267="","",IF(COUNTIF(INDEX(CNTR_IOSupplyChain,MATCH(D267,CNTR_IOProcAndPrec,0),),C284)=0,"",INDEX(CNTR_IOProcAndPrec,MATCH(C284,INDEX(CNTR_IOSupplyChain,MATCH(D267,CNTR_IOProcAndPrec,0),),0))))</f>
        <v/>
      </c>
      <c r="E284" s="1245"/>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x14ac:dyDescent="0.25">
      <c r="C285" s="262">
        <v>15</v>
      </c>
      <c r="D285" s="1244" t="str">
        <f>IF(D267="","",IF(COUNTIF(INDEX(CNTR_IOSupplyChain,MATCH(D267,CNTR_IOProcAndPrec,0),),C285)=0,"",INDEX(CNTR_IOProcAndPrec,MATCH(C285,INDEX(CNTR_IOSupplyChain,MATCH(D267,CNTR_IOProcAndPrec,0),),0))))</f>
        <v/>
      </c>
      <c r="E285" s="1245"/>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x14ac:dyDescent="0.25">
      <c r="C286" s="262">
        <v>16</v>
      </c>
      <c r="D286" s="1244" t="str">
        <f>IF(D267="","",IF(COUNTIF(INDEX(CNTR_IOSupplyChain,MATCH(D267,CNTR_IOProcAndPrec,0),),C286)=0,"",INDEX(CNTR_IOProcAndPrec,MATCH(C286,INDEX(CNTR_IOSupplyChain,MATCH(D267,CNTR_IOProcAndPrec,0),),0))))</f>
        <v/>
      </c>
      <c r="E286" s="1245"/>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x14ac:dyDescent="0.25">
      <c r="C287" s="262">
        <v>17</v>
      </c>
      <c r="D287" s="1244" t="str">
        <f>IF(D267="","",IF(COUNTIF(INDEX(CNTR_IOSupplyChain,MATCH(D267,CNTR_IOProcAndPrec,0),),C287)=0,"",INDEX(CNTR_IOProcAndPrec,MATCH(C287,INDEX(CNTR_IOSupplyChain,MATCH(D267,CNTR_IOProcAndPrec,0),),0))))</f>
        <v/>
      </c>
      <c r="E287" s="1245"/>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x14ac:dyDescent="0.25">
      <c r="C288" s="262">
        <v>18</v>
      </c>
      <c r="D288" s="1244" t="str">
        <f>IF(D267="","",IF(COUNTIF(INDEX(CNTR_IOSupplyChain,MATCH(D267,CNTR_IOProcAndPrec,0),),C288)=0,"",INDEX(CNTR_IOProcAndPrec,MATCH(C288,INDEX(CNTR_IOSupplyChain,MATCH(D267,CNTR_IOProcAndPrec,0),),0))))</f>
        <v/>
      </c>
      <c r="E288" s="1245"/>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x14ac:dyDescent="0.25">
      <c r="C289" s="262">
        <v>19</v>
      </c>
      <c r="D289" s="1244" t="str">
        <f>IF(D267="","",IF(COUNTIF(INDEX(CNTR_IOSupplyChain,MATCH(D267,CNTR_IOProcAndPrec,0),),C289)=0,"",INDEX(CNTR_IOProcAndPrec,MATCH(C289,INDEX(CNTR_IOSupplyChain,MATCH(D267,CNTR_IOProcAndPrec,0),),0))))</f>
        <v/>
      </c>
      <c r="E289" s="1245"/>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x14ac:dyDescent="0.25">
      <c r="C290" s="262">
        <v>20</v>
      </c>
      <c r="D290" s="1244" t="str">
        <f>IF(D267="","",IF(COUNTIF(INDEX(CNTR_IOSupplyChain,MATCH(D267,CNTR_IOProcAndPrec,0),),C290)=0,"",INDEX(CNTR_IOProcAndPrec,MATCH(C290,INDEX(CNTR_IOSupplyChain,MATCH(D267,CNTR_IOProcAndPrec,0),),0))))</f>
        <v/>
      </c>
      <c r="E290" s="1245"/>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x14ac:dyDescent="0.25">
      <c r="C291" s="262">
        <v>21</v>
      </c>
      <c r="D291" s="1244" t="str">
        <f>IF(D267="","",IF(COUNTIF(INDEX(CNTR_IOSupplyChain,MATCH(D267,CNTR_IOProcAndPrec,0),),C291)=0,"",INDEX(CNTR_IOProcAndPrec,MATCH(C291,INDEX(CNTR_IOSupplyChain,MATCH(D267,CNTR_IOProcAndPrec,0),),0))))</f>
        <v/>
      </c>
      <c r="E291" s="1245"/>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x14ac:dyDescent="0.25">
      <c r="C292" s="262">
        <v>22</v>
      </c>
      <c r="D292" s="1244" t="str">
        <f>IF(D267="","",IF(COUNTIF(INDEX(CNTR_IOSupplyChain,MATCH(D267,CNTR_IOProcAndPrec,0),),C292)=0,"",INDEX(CNTR_IOProcAndPrec,MATCH(C292,INDEX(CNTR_IOSupplyChain,MATCH(D267,CNTR_IOProcAndPrec,0),),0))))</f>
        <v/>
      </c>
      <c r="E292" s="1245"/>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x14ac:dyDescent="0.25">
      <c r="C293" s="262">
        <v>23</v>
      </c>
      <c r="D293" s="1244" t="str">
        <f>IF(D267="","",IF(COUNTIF(INDEX(CNTR_IOSupplyChain,MATCH(D267,CNTR_IOProcAndPrec,0),),C293)=0,"",INDEX(CNTR_IOProcAndPrec,MATCH(C293,INDEX(CNTR_IOSupplyChain,MATCH(D267,CNTR_IOProcAndPrec,0),),0))))</f>
        <v/>
      </c>
      <c r="E293" s="1245"/>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x14ac:dyDescent="0.25">
      <c r="C294" s="262">
        <v>24</v>
      </c>
      <c r="D294" s="1244" t="str">
        <f>IF(D267="","",IF(COUNTIF(INDEX(CNTR_IOSupplyChain,MATCH(D267,CNTR_IOProcAndPrec,0),),C294)=0,"",INDEX(CNTR_IOProcAndPrec,MATCH(C294,INDEX(CNTR_IOSupplyChain,MATCH(D267,CNTR_IOProcAndPrec,0),),0))))</f>
        <v/>
      </c>
      <c r="E294" s="1245"/>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x14ac:dyDescent="0.25">
      <c r="C295" s="262">
        <v>25</v>
      </c>
      <c r="D295" s="1244" t="str">
        <f>IF(D267="","",IF(COUNTIF(INDEX(CNTR_IOSupplyChain,MATCH(D267,CNTR_IOProcAndPrec,0),),C295)=0,"",INDEX(CNTR_IOProcAndPrec,MATCH(C295,INDEX(CNTR_IOSupplyChain,MATCH(D267,CNTR_IOProcAndPrec,0),),0))))</f>
        <v/>
      </c>
      <c r="E295" s="1245"/>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x14ac:dyDescent="0.25">
      <c r="C296" s="262">
        <v>26</v>
      </c>
      <c r="D296" s="1244" t="str">
        <f>IF(D267="","",IF(COUNTIF(INDEX(CNTR_IOSupplyChain,MATCH(D267,CNTR_IOProcAndPrec,0),),C296)=0,"",INDEX(CNTR_IOProcAndPrec,MATCH(C296,INDEX(CNTR_IOSupplyChain,MATCH(D267,CNTR_IOProcAndPrec,0),),0))))</f>
        <v/>
      </c>
      <c r="E296" s="1245"/>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x14ac:dyDescent="0.25">
      <c r="C297" s="262">
        <v>27</v>
      </c>
      <c r="D297" s="1244" t="str">
        <f>IF(D267="","",IF(COUNTIF(INDEX(CNTR_IOSupplyChain,MATCH(D267,CNTR_IOProcAndPrec,0),),C297)=0,"",INDEX(CNTR_IOProcAndPrec,MATCH(C297,INDEX(CNTR_IOSupplyChain,MATCH(D267,CNTR_IOProcAndPrec,0),),0))))</f>
        <v/>
      </c>
      <c r="E297" s="1245"/>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x14ac:dyDescent="0.25">
      <c r="C298" s="262">
        <v>28</v>
      </c>
      <c r="D298" s="1244" t="str">
        <f>IF(D267="","",IF(COUNTIF(INDEX(CNTR_IOSupplyChain,MATCH(D267,CNTR_IOProcAndPrec,0),),C298)=0,"",INDEX(CNTR_IOProcAndPrec,MATCH(C298,INDEX(CNTR_IOSupplyChain,MATCH(D267,CNTR_IOProcAndPrec,0),),0))))</f>
        <v/>
      </c>
      <c r="E298" s="1245"/>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x14ac:dyDescent="0.25">
      <c r="C299" s="262">
        <v>29</v>
      </c>
      <c r="D299" s="1244" t="str">
        <f>IF(D267="","",IF(COUNTIF(INDEX(CNTR_IOSupplyChain,MATCH(D267,CNTR_IOProcAndPrec,0),),C299)=0,"",INDEX(CNTR_IOProcAndPrec,MATCH(C299,INDEX(CNTR_IOSupplyChain,MATCH(D267,CNTR_IOProcAndPrec,0),),0))))</f>
        <v/>
      </c>
      <c r="E299" s="1245"/>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x14ac:dyDescent="0.3">
      <c r="C300" s="262">
        <v>30</v>
      </c>
      <c r="D300" s="1277" t="str">
        <f>IF(D267="","",IF(COUNTIF(INDEX(CNTR_IOSupplyChain,MATCH(D267,CNTR_IOProcAndPrec,0),),C300)=0,"",INDEX(CNTR_IOProcAndPrec,MATCH(C300,INDEX(CNTR_IOSupplyChain,MATCH(D267,CNTR_IOProcAndPrec,0),),0))))</f>
        <v/>
      </c>
      <c r="E300" s="1278"/>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x14ac:dyDescent="0.3">
      <c r="I301" s="799"/>
      <c r="J301" s="799"/>
      <c r="K301" s="799"/>
      <c r="P301" s="799"/>
    </row>
    <row r="302" spans="1:41" ht="12.75" customHeight="1" thickBot="1" x14ac:dyDescent="0.3">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x14ac:dyDescent="0.25">
      <c r="A303" s="251"/>
      <c r="C303" s="1239">
        <f>C267+1</f>
        <v>5</v>
      </c>
      <c r="D303" s="1246" t="str">
        <f>IF(INDEX(CNTR_List_ExistProdProcNames,C303)=CONST_NA,"",INDEX(CNTR_List_ExistProdProcNames,C303))</f>
        <v/>
      </c>
      <c r="E303" s="1247"/>
      <c r="F303" s="1250" t="str">
        <f>Translations!$B$107</f>
        <v>Aggregated goods category</v>
      </c>
      <c r="G303" s="253" t="str">
        <f>Translations!$B$584</f>
        <v>Mass share</v>
      </c>
      <c r="H303" s="1252"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52" t="str">
        <f>Translations!$B$594</f>
        <v>Source of electricity EF</v>
      </c>
      <c r="P303" s="801" t="str">
        <f>Translations!$B$597</f>
        <v>Specific electricity</v>
      </c>
      <c r="Q303" s="1237" t="s">
        <v>1295</v>
      </c>
      <c r="R303" s="1271" t="str">
        <f>Translations!$B$351</f>
        <v>CP due (per t or MWh)</v>
      </c>
      <c r="S303" s="1273"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x14ac:dyDescent="0.3">
      <c r="A304" s="251"/>
      <c r="C304" s="1240"/>
      <c r="D304" s="1248"/>
      <c r="E304" s="1249"/>
      <c r="F304" s="1251"/>
      <c r="G304" s="254" t="str">
        <f>IF($F305="",CONST_t,INDEX(CONST_LIST_GoodsUnit,MATCH($F305,CONST_LIST_Goods,0))) &amp;"/"&amp; IF($F305="",CONST_t,INDEX(CONST_LIST_GoodsUnit,MATCH($F305,CONST_LIST_Goods,0)))</f>
        <v>t/t</v>
      </c>
      <c r="H304" s="1253"/>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53"/>
      <c r="P304" s="802" t="str">
        <f>CONST_MWh &amp; "/" &amp; IF($F305="",CONST_t,INDEX(CONST_LIST_GoodsUnit,MATCH($F305,CONST_LIST_Goods,0)))</f>
        <v>MWh/t</v>
      </c>
      <c r="Q304" s="1238"/>
      <c r="R304" s="1272"/>
      <c r="S304" s="1274"/>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x14ac:dyDescent="0.3">
      <c r="C305" s="1241"/>
      <c r="D305" s="1254" t="str">
        <f>Translations!$B$600</f>
        <v>Total production process</v>
      </c>
      <c r="E305" s="1255"/>
      <c r="F305" s="256" t="str">
        <f>IF(D306="","",INDEX(CNTR_List_ExistProdProc,MATCH(D306,CNTR_List_ExistProdProcNames,0)))</f>
        <v/>
      </c>
      <c r="G305" s="257" t="s">
        <v>1329</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1329</v>
      </c>
      <c r="P305" s="795" t="str">
        <f>IF(COUNT(P306:P336)&gt;0,SUM(P306:P336),"")</f>
        <v/>
      </c>
      <c r="Q305" s="810" t="s">
        <v>1329</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1355</v>
      </c>
    </row>
    <row r="306" spans="3:33" ht="12.75" customHeight="1" thickBot="1" x14ac:dyDescent="0.3">
      <c r="D306" s="1269" t="str">
        <f>D303</f>
        <v/>
      </c>
      <c r="E306" s="1270"/>
      <c r="F306" s="286" t="str">
        <f>IF(D306="","",INDEX(CNTR_List_ExistProdProc,MATCH(D306,CNTR_List_ExistProdProcNames,0)))</f>
        <v/>
      </c>
      <c r="G306" s="259">
        <v>1</v>
      </c>
      <c r="H306" s="287" t="s">
        <v>1329</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x14ac:dyDescent="0.25">
      <c r="C307" s="262">
        <v>1</v>
      </c>
      <c r="D307" s="1242" t="str">
        <f>IF(D303="","",IF(COUNTIF(INDEX(CNTR_IOSupplyChain,MATCH(D303,CNTR_IOProcAndPrec,0),),C307)=0,"",INDEX(CNTR_IOProcAndPrec,MATCH(C307,INDEX(CNTR_IOSupplyChain,MATCH(D303,CNTR_IOProcAndPrec,0),),0))))</f>
        <v/>
      </c>
      <c r="E307" s="1243"/>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x14ac:dyDescent="0.25">
      <c r="C308" s="262">
        <v>2</v>
      </c>
      <c r="D308" s="1244" t="str">
        <f>IF(D303="","",IF(COUNTIF(INDEX(CNTR_IOSupplyChain,MATCH(D303,CNTR_IOProcAndPrec,0),),C308)=0,"",INDEX(CNTR_IOProcAndPrec,MATCH(C308,INDEX(CNTR_IOSupplyChain,MATCH(D303,CNTR_IOProcAndPrec,0),),0))))</f>
        <v/>
      </c>
      <c r="E308" s="1245"/>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x14ac:dyDescent="0.25">
      <c r="C309" s="262">
        <v>3</v>
      </c>
      <c r="D309" s="1244" t="str">
        <f>IF(D303="","",IF(COUNTIF(INDEX(CNTR_IOSupplyChain,MATCH(D303,CNTR_IOProcAndPrec,0),),C309)=0,"",INDEX(CNTR_IOProcAndPrec,MATCH(C309,INDEX(CNTR_IOSupplyChain,MATCH(D303,CNTR_IOProcAndPrec,0),),0))))</f>
        <v/>
      </c>
      <c r="E309" s="1245"/>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x14ac:dyDescent="0.25">
      <c r="C310" s="262">
        <v>4</v>
      </c>
      <c r="D310" s="1244" t="str">
        <f>IF(D303="","",IF(COUNTIF(INDEX(CNTR_IOSupplyChain,MATCH(D303,CNTR_IOProcAndPrec,0),),C310)=0,"",INDEX(CNTR_IOProcAndPrec,MATCH(C310,INDEX(CNTR_IOSupplyChain,MATCH(D303,CNTR_IOProcAndPrec,0),),0))))</f>
        <v/>
      </c>
      <c r="E310" s="1245"/>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x14ac:dyDescent="0.25">
      <c r="C311" s="262">
        <v>5</v>
      </c>
      <c r="D311" s="1244" t="str">
        <f>IF(D303="","",IF(COUNTIF(INDEX(CNTR_IOSupplyChain,MATCH(D303,CNTR_IOProcAndPrec,0),),C311)=0,"",INDEX(CNTR_IOProcAndPrec,MATCH(C311,INDEX(CNTR_IOSupplyChain,MATCH(D303,CNTR_IOProcAndPrec,0),),0))))</f>
        <v/>
      </c>
      <c r="E311" s="1245"/>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x14ac:dyDescent="0.25">
      <c r="C312" s="262">
        <v>6</v>
      </c>
      <c r="D312" s="1244" t="str">
        <f>IF(D303="","",IF(COUNTIF(INDEX(CNTR_IOSupplyChain,MATCH(D303,CNTR_IOProcAndPrec,0),),C312)=0,"",INDEX(CNTR_IOProcAndPrec,MATCH(C312,INDEX(CNTR_IOSupplyChain,MATCH(D303,CNTR_IOProcAndPrec,0),),0))))</f>
        <v/>
      </c>
      <c r="E312" s="1245"/>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x14ac:dyDescent="0.25">
      <c r="C313" s="262">
        <v>7</v>
      </c>
      <c r="D313" s="1244" t="str">
        <f>IF(D303="","",IF(COUNTIF(INDEX(CNTR_IOSupplyChain,MATCH(D303,CNTR_IOProcAndPrec,0),),C313)=0,"",INDEX(CNTR_IOProcAndPrec,MATCH(C313,INDEX(CNTR_IOSupplyChain,MATCH(D303,CNTR_IOProcAndPrec,0),),0))))</f>
        <v/>
      </c>
      <c r="E313" s="1245"/>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x14ac:dyDescent="0.25">
      <c r="C314" s="262">
        <v>8</v>
      </c>
      <c r="D314" s="1244" t="str">
        <f>IF(D303="","",IF(COUNTIF(INDEX(CNTR_IOSupplyChain,MATCH(D303,CNTR_IOProcAndPrec,0),),C314)=0,"",INDEX(CNTR_IOProcAndPrec,MATCH(C314,INDEX(CNTR_IOSupplyChain,MATCH(D303,CNTR_IOProcAndPrec,0),),0))))</f>
        <v/>
      </c>
      <c r="E314" s="1245"/>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x14ac:dyDescent="0.25">
      <c r="C315" s="262">
        <v>9</v>
      </c>
      <c r="D315" s="1244" t="str">
        <f>IF(D303="","",IF(COUNTIF(INDEX(CNTR_IOSupplyChain,MATCH(D303,CNTR_IOProcAndPrec,0),),C315)=0,"",INDEX(CNTR_IOProcAndPrec,MATCH(C315,INDEX(CNTR_IOSupplyChain,MATCH(D303,CNTR_IOProcAndPrec,0),),0))))</f>
        <v/>
      </c>
      <c r="E315" s="1245"/>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x14ac:dyDescent="0.25">
      <c r="C316" s="262">
        <v>10</v>
      </c>
      <c r="D316" s="1244" t="str">
        <f>IF(D303="","",IF(COUNTIF(INDEX(CNTR_IOSupplyChain,MATCH(D303,CNTR_IOProcAndPrec,0),),C316)=0,"",INDEX(CNTR_IOProcAndPrec,MATCH(C316,INDEX(CNTR_IOSupplyChain,MATCH(D303,CNTR_IOProcAndPrec,0),),0))))</f>
        <v/>
      </c>
      <c r="E316" s="1245"/>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x14ac:dyDescent="0.25">
      <c r="C317" s="262">
        <v>11</v>
      </c>
      <c r="D317" s="1244" t="str">
        <f>IF(D303="","",IF(COUNTIF(INDEX(CNTR_IOSupplyChain,MATCH(D303,CNTR_IOProcAndPrec,0),),C317)=0,"",INDEX(CNTR_IOProcAndPrec,MATCH(C317,INDEX(CNTR_IOSupplyChain,MATCH(D303,CNTR_IOProcAndPrec,0),),0))))</f>
        <v/>
      </c>
      <c r="E317" s="1245"/>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x14ac:dyDescent="0.25">
      <c r="C318" s="262">
        <v>12</v>
      </c>
      <c r="D318" s="1244" t="str">
        <f>IF(D303="","",IF(COUNTIF(INDEX(CNTR_IOSupplyChain,MATCH(D303,CNTR_IOProcAndPrec,0),),C318)=0,"",INDEX(CNTR_IOProcAndPrec,MATCH(C318,INDEX(CNTR_IOSupplyChain,MATCH(D303,CNTR_IOProcAndPrec,0),),0))))</f>
        <v/>
      </c>
      <c r="E318" s="1245"/>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x14ac:dyDescent="0.25">
      <c r="C319" s="262">
        <v>13</v>
      </c>
      <c r="D319" s="1244" t="str">
        <f>IF(D303="","",IF(COUNTIF(INDEX(CNTR_IOSupplyChain,MATCH(D303,CNTR_IOProcAndPrec,0),),C319)=0,"",INDEX(CNTR_IOProcAndPrec,MATCH(C319,INDEX(CNTR_IOSupplyChain,MATCH(D303,CNTR_IOProcAndPrec,0),),0))))</f>
        <v/>
      </c>
      <c r="E319" s="1245"/>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x14ac:dyDescent="0.25">
      <c r="C320" s="262">
        <v>14</v>
      </c>
      <c r="D320" s="1244" t="str">
        <f>IF(D303="","",IF(COUNTIF(INDEX(CNTR_IOSupplyChain,MATCH(D303,CNTR_IOProcAndPrec,0),),C320)=0,"",INDEX(CNTR_IOProcAndPrec,MATCH(C320,INDEX(CNTR_IOSupplyChain,MATCH(D303,CNTR_IOProcAndPrec,0),),0))))</f>
        <v/>
      </c>
      <c r="E320" s="1245"/>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x14ac:dyDescent="0.25">
      <c r="C321" s="262">
        <v>15</v>
      </c>
      <c r="D321" s="1244" t="str">
        <f>IF(D303="","",IF(COUNTIF(INDEX(CNTR_IOSupplyChain,MATCH(D303,CNTR_IOProcAndPrec,0),),C321)=0,"",INDEX(CNTR_IOProcAndPrec,MATCH(C321,INDEX(CNTR_IOSupplyChain,MATCH(D303,CNTR_IOProcAndPrec,0),),0))))</f>
        <v/>
      </c>
      <c r="E321" s="1245"/>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x14ac:dyDescent="0.25">
      <c r="C322" s="262">
        <v>16</v>
      </c>
      <c r="D322" s="1244" t="str">
        <f>IF(D303="","",IF(COUNTIF(INDEX(CNTR_IOSupplyChain,MATCH(D303,CNTR_IOProcAndPrec,0),),C322)=0,"",INDEX(CNTR_IOProcAndPrec,MATCH(C322,INDEX(CNTR_IOSupplyChain,MATCH(D303,CNTR_IOProcAndPrec,0),),0))))</f>
        <v/>
      </c>
      <c r="E322" s="1245"/>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x14ac:dyDescent="0.25">
      <c r="C323" s="262">
        <v>17</v>
      </c>
      <c r="D323" s="1244" t="str">
        <f>IF(D303="","",IF(COUNTIF(INDEX(CNTR_IOSupplyChain,MATCH(D303,CNTR_IOProcAndPrec,0),),C323)=0,"",INDEX(CNTR_IOProcAndPrec,MATCH(C323,INDEX(CNTR_IOSupplyChain,MATCH(D303,CNTR_IOProcAndPrec,0),),0))))</f>
        <v/>
      </c>
      <c r="E323" s="1245"/>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x14ac:dyDescent="0.25">
      <c r="C324" s="262">
        <v>18</v>
      </c>
      <c r="D324" s="1244" t="str">
        <f>IF(D303="","",IF(COUNTIF(INDEX(CNTR_IOSupplyChain,MATCH(D303,CNTR_IOProcAndPrec,0),),C324)=0,"",INDEX(CNTR_IOProcAndPrec,MATCH(C324,INDEX(CNTR_IOSupplyChain,MATCH(D303,CNTR_IOProcAndPrec,0),),0))))</f>
        <v/>
      </c>
      <c r="E324" s="1245"/>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x14ac:dyDescent="0.25">
      <c r="C325" s="262">
        <v>19</v>
      </c>
      <c r="D325" s="1244" t="str">
        <f>IF(D303="","",IF(COUNTIF(INDEX(CNTR_IOSupplyChain,MATCH(D303,CNTR_IOProcAndPrec,0),),C325)=0,"",INDEX(CNTR_IOProcAndPrec,MATCH(C325,INDEX(CNTR_IOSupplyChain,MATCH(D303,CNTR_IOProcAndPrec,0),),0))))</f>
        <v/>
      </c>
      <c r="E325" s="1245"/>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x14ac:dyDescent="0.25">
      <c r="C326" s="262">
        <v>20</v>
      </c>
      <c r="D326" s="1244" t="str">
        <f>IF(D303="","",IF(COUNTIF(INDEX(CNTR_IOSupplyChain,MATCH(D303,CNTR_IOProcAndPrec,0),),C326)=0,"",INDEX(CNTR_IOProcAndPrec,MATCH(C326,INDEX(CNTR_IOSupplyChain,MATCH(D303,CNTR_IOProcAndPrec,0),),0))))</f>
        <v/>
      </c>
      <c r="E326" s="1245"/>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x14ac:dyDescent="0.25">
      <c r="C327" s="262">
        <v>21</v>
      </c>
      <c r="D327" s="1244" t="str">
        <f>IF(D303="","",IF(COUNTIF(INDEX(CNTR_IOSupplyChain,MATCH(D303,CNTR_IOProcAndPrec,0),),C327)=0,"",INDEX(CNTR_IOProcAndPrec,MATCH(C327,INDEX(CNTR_IOSupplyChain,MATCH(D303,CNTR_IOProcAndPrec,0),),0))))</f>
        <v/>
      </c>
      <c r="E327" s="1245"/>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x14ac:dyDescent="0.25">
      <c r="C328" s="262">
        <v>22</v>
      </c>
      <c r="D328" s="1244" t="str">
        <f>IF(D303="","",IF(COUNTIF(INDEX(CNTR_IOSupplyChain,MATCH(D303,CNTR_IOProcAndPrec,0),),C328)=0,"",INDEX(CNTR_IOProcAndPrec,MATCH(C328,INDEX(CNTR_IOSupplyChain,MATCH(D303,CNTR_IOProcAndPrec,0),),0))))</f>
        <v/>
      </c>
      <c r="E328" s="1245"/>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x14ac:dyDescent="0.25">
      <c r="C329" s="262">
        <v>23</v>
      </c>
      <c r="D329" s="1244" t="str">
        <f>IF(D303="","",IF(COUNTIF(INDEX(CNTR_IOSupplyChain,MATCH(D303,CNTR_IOProcAndPrec,0),),C329)=0,"",INDEX(CNTR_IOProcAndPrec,MATCH(C329,INDEX(CNTR_IOSupplyChain,MATCH(D303,CNTR_IOProcAndPrec,0),),0))))</f>
        <v/>
      </c>
      <c r="E329" s="1245"/>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x14ac:dyDescent="0.25">
      <c r="C330" s="262">
        <v>24</v>
      </c>
      <c r="D330" s="1244" t="str">
        <f>IF(D303="","",IF(COUNTIF(INDEX(CNTR_IOSupplyChain,MATCH(D303,CNTR_IOProcAndPrec,0),),C330)=0,"",INDEX(CNTR_IOProcAndPrec,MATCH(C330,INDEX(CNTR_IOSupplyChain,MATCH(D303,CNTR_IOProcAndPrec,0),),0))))</f>
        <v/>
      </c>
      <c r="E330" s="1245"/>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x14ac:dyDescent="0.25">
      <c r="C331" s="262">
        <v>25</v>
      </c>
      <c r="D331" s="1244" t="str">
        <f>IF(D303="","",IF(COUNTIF(INDEX(CNTR_IOSupplyChain,MATCH(D303,CNTR_IOProcAndPrec,0),),C331)=0,"",INDEX(CNTR_IOProcAndPrec,MATCH(C331,INDEX(CNTR_IOSupplyChain,MATCH(D303,CNTR_IOProcAndPrec,0),),0))))</f>
        <v/>
      </c>
      <c r="E331" s="1245"/>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x14ac:dyDescent="0.25">
      <c r="C332" s="262">
        <v>26</v>
      </c>
      <c r="D332" s="1244" t="str">
        <f>IF(D303="","",IF(COUNTIF(INDEX(CNTR_IOSupplyChain,MATCH(D303,CNTR_IOProcAndPrec,0),),C332)=0,"",INDEX(CNTR_IOProcAndPrec,MATCH(C332,INDEX(CNTR_IOSupplyChain,MATCH(D303,CNTR_IOProcAndPrec,0),),0))))</f>
        <v/>
      </c>
      <c r="E332" s="1245"/>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x14ac:dyDescent="0.25">
      <c r="C333" s="262">
        <v>27</v>
      </c>
      <c r="D333" s="1244" t="str">
        <f>IF(D303="","",IF(COUNTIF(INDEX(CNTR_IOSupplyChain,MATCH(D303,CNTR_IOProcAndPrec,0),),C333)=0,"",INDEX(CNTR_IOProcAndPrec,MATCH(C333,INDEX(CNTR_IOSupplyChain,MATCH(D303,CNTR_IOProcAndPrec,0),),0))))</f>
        <v/>
      </c>
      <c r="E333" s="1245"/>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x14ac:dyDescent="0.25">
      <c r="C334" s="262">
        <v>28</v>
      </c>
      <c r="D334" s="1244" t="str">
        <f>IF(D303="","",IF(COUNTIF(INDEX(CNTR_IOSupplyChain,MATCH(D303,CNTR_IOProcAndPrec,0),),C334)=0,"",INDEX(CNTR_IOProcAndPrec,MATCH(C334,INDEX(CNTR_IOSupplyChain,MATCH(D303,CNTR_IOProcAndPrec,0),),0))))</f>
        <v/>
      </c>
      <c r="E334" s="1245"/>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x14ac:dyDescent="0.25">
      <c r="C335" s="262">
        <v>29</v>
      </c>
      <c r="D335" s="1244" t="str">
        <f>IF(D303="","",IF(COUNTIF(INDEX(CNTR_IOSupplyChain,MATCH(D303,CNTR_IOProcAndPrec,0),),C335)=0,"",INDEX(CNTR_IOProcAndPrec,MATCH(C335,INDEX(CNTR_IOSupplyChain,MATCH(D303,CNTR_IOProcAndPrec,0),),0))))</f>
        <v/>
      </c>
      <c r="E335" s="1245"/>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x14ac:dyDescent="0.3">
      <c r="C336" s="262">
        <v>30</v>
      </c>
      <c r="D336" s="1277" t="str">
        <f>IF(D303="","",IF(COUNTIF(INDEX(CNTR_IOSupplyChain,MATCH(D303,CNTR_IOProcAndPrec,0),),C336)=0,"",INDEX(CNTR_IOProcAndPrec,MATCH(C336,INDEX(CNTR_IOSupplyChain,MATCH(D303,CNTR_IOProcAndPrec,0),),0))))</f>
        <v/>
      </c>
      <c r="E336" s="1278"/>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x14ac:dyDescent="0.3">
      <c r="I337" s="799"/>
      <c r="J337" s="799"/>
      <c r="K337" s="799"/>
      <c r="P337" s="799"/>
    </row>
    <row r="338" spans="1:41" ht="12.75" customHeight="1" thickBot="1" x14ac:dyDescent="0.3">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x14ac:dyDescent="0.25">
      <c r="A339" s="251"/>
      <c r="C339" s="1239">
        <f>C303+1</f>
        <v>6</v>
      </c>
      <c r="D339" s="1246" t="str">
        <f>IF(INDEX(CNTR_List_ExistProdProcNames,C339)=CONST_NA,"",INDEX(CNTR_List_ExistProdProcNames,C339))</f>
        <v/>
      </c>
      <c r="E339" s="1247"/>
      <c r="F339" s="1250" t="str">
        <f>Translations!$B$107</f>
        <v>Aggregated goods category</v>
      </c>
      <c r="G339" s="253" t="str">
        <f>Translations!$B$584</f>
        <v>Mass share</v>
      </c>
      <c r="H339" s="1252"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52" t="str">
        <f>Translations!$B$594</f>
        <v>Source of electricity EF</v>
      </c>
      <c r="P339" s="801" t="str">
        <f>Translations!$B$597</f>
        <v>Specific electricity</v>
      </c>
      <c r="Q339" s="1237" t="s">
        <v>1295</v>
      </c>
      <c r="R339" s="1271" t="str">
        <f>Translations!$B$351</f>
        <v>CP due (per t or MWh)</v>
      </c>
      <c r="S339" s="1273"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x14ac:dyDescent="0.3">
      <c r="A340" s="251"/>
      <c r="C340" s="1240"/>
      <c r="D340" s="1248"/>
      <c r="E340" s="1249"/>
      <c r="F340" s="1251"/>
      <c r="G340" s="254" t="str">
        <f>IF($F341="",CONST_t,INDEX(CONST_LIST_GoodsUnit,MATCH($F341,CONST_LIST_Goods,0))) &amp;"/"&amp; IF($F341="",CONST_t,INDEX(CONST_LIST_GoodsUnit,MATCH($F341,CONST_LIST_Goods,0)))</f>
        <v>t/t</v>
      </c>
      <c r="H340" s="1253"/>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53"/>
      <c r="P340" s="802" t="str">
        <f>CONST_MWh &amp; "/" &amp; IF($F341="",CONST_t,INDEX(CONST_LIST_GoodsUnit,MATCH($F341,CONST_LIST_Goods,0)))</f>
        <v>MWh/t</v>
      </c>
      <c r="Q340" s="1238"/>
      <c r="R340" s="1272"/>
      <c r="S340" s="1274"/>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x14ac:dyDescent="0.3">
      <c r="C341" s="1241"/>
      <c r="D341" s="1254" t="str">
        <f>Translations!$B$600</f>
        <v>Total production process</v>
      </c>
      <c r="E341" s="1255"/>
      <c r="F341" s="256" t="str">
        <f>IF(D342="","",INDEX(CNTR_List_ExistProdProc,MATCH(D342,CNTR_List_ExistProdProcNames,0)))</f>
        <v/>
      </c>
      <c r="G341" s="257" t="s">
        <v>1329</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1329</v>
      </c>
      <c r="P341" s="795" t="str">
        <f>IF(COUNT(P342:P372)&gt;0,SUM(P342:P372),"")</f>
        <v/>
      </c>
      <c r="Q341" s="810" t="s">
        <v>1329</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1355</v>
      </c>
    </row>
    <row r="342" spans="1:41" ht="12.75" customHeight="1" thickBot="1" x14ac:dyDescent="0.3">
      <c r="D342" s="1269" t="str">
        <f>D339</f>
        <v/>
      </c>
      <c r="E342" s="1270"/>
      <c r="F342" s="286" t="str">
        <f>IF(D342="","",INDEX(CNTR_List_ExistProdProc,MATCH(D342,CNTR_List_ExistProdProcNames,0)))</f>
        <v/>
      </c>
      <c r="G342" s="259">
        <v>1</v>
      </c>
      <c r="H342" s="287" t="s">
        <v>1329</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x14ac:dyDescent="0.25">
      <c r="C343" s="262">
        <v>1</v>
      </c>
      <c r="D343" s="1242" t="str">
        <f>IF(D339="","",IF(COUNTIF(INDEX(CNTR_IOSupplyChain,MATCH(D339,CNTR_IOProcAndPrec,0),),C343)=0,"",INDEX(CNTR_IOProcAndPrec,MATCH(C343,INDEX(CNTR_IOSupplyChain,MATCH(D339,CNTR_IOProcAndPrec,0),),0))))</f>
        <v/>
      </c>
      <c r="E343" s="1243"/>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x14ac:dyDescent="0.25">
      <c r="C344" s="262">
        <v>2</v>
      </c>
      <c r="D344" s="1244" t="str">
        <f>IF(D339="","",IF(COUNTIF(INDEX(CNTR_IOSupplyChain,MATCH(D339,CNTR_IOProcAndPrec,0),),C344)=0,"",INDEX(CNTR_IOProcAndPrec,MATCH(C344,INDEX(CNTR_IOSupplyChain,MATCH(D339,CNTR_IOProcAndPrec,0),),0))))</f>
        <v/>
      </c>
      <c r="E344" s="1245"/>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x14ac:dyDescent="0.25">
      <c r="C345" s="262">
        <v>3</v>
      </c>
      <c r="D345" s="1244" t="str">
        <f>IF(D339="","",IF(COUNTIF(INDEX(CNTR_IOSupplyChain,MATCH(D339,CNTR_IOProcAndPrec,0),),C345)=0,"",INDEX(CNTR_IOProcAndPrec,MATCH(C345,INDEX(CNTR_IOSupplyChain,MATCH(D339,CNTR_IOProcAndPrec,0),),0))))</f>
        <v/>
      </c>
      <c r="E345" s="1245"/>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x14ac:dyDescent="0.25">
      <c r="C346" s="262">
        <v>4</v>
      </c>
      <c r="D346" s="1244" t="str">
        <f>IF(D339="","",IF(COUNTIF(INDEX(CNTR_IOSupplyChain,MATCH(D339,CNTR_IOProcAndPrec,0),),C346)=0,"",INDEX(CNTR_IOProcAndPrec,MATCH(C346,INDEX(CNTR_IOSupplyChain,MATCH(D339,CNTR_IOProcAndPrec,0),),0))))</f>
        <v/>
      </c>
      <c r="E346" s="1245"/>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x14ac:dyDescent="0.25">
      <c r="C347" s="262">
        <v>5</v>
      </c>
      <c r="D347" s="1244" t="str">
        <f>IF(D339="","",IF(COUNTIF(INDEX(CNTR_IOSupplyChain,MATCH(D339,CNTR_IOProcAndPrec,0),),C347)=0,"",INDEX(CNTR_IOProcAndPrec,MATCH(C347,INDEX(CNTR_IOSupplyChain,MATCH(D339,CNTR_IOProcAndPrec,0),),0))))</f>
        <v/>
      </c>
      <c r="E347" s="1245"/>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x14ac:dyDescent="0.25">
      <c r="C348" s="262">
        <v>6</v>
      </c>
      <c r="D348" s="1244" t="str">
        <f>IF(D339="","",IF(COUNTIF(INDEX(CNTR_IOSupplyChain,MATCH(D339,CNTR_IOProcAndPrec,0),),C348)=0,"",INDEX(CNTR_IOProcAndPrec,MATCH(C348,INDEX(CNTR_IOSupplyChain,MATCH(D339,CNTR_IOProcAndPrec,0),),0))))</f>
        <v/>
      </c>
      <c r="E348" s="1245"/>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x14ac:dyDescent="0.25">
      <c r="C349" s="262">
        <v>7</v>
      </c>
      <c r="D349" s="1244" t="str">
        <f>IF(D339="","",IF(COUNTIF(INDEX(CNTR_IOSupplyChain,MATCH(D339,CNTR_IOProcAndPrec,0),),C349)=0,"",INDEX(CNTR_IOProcAndPrec,MATCH(C349,INDEX(CNTR_IOSupplyChain,MATCH(D339,CNTR_IOProcAndPrec,0),),0))))</f>
        <v/>
      </c>
      <c r="E349" s="1245"/>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x14ac:dyDescent="0.25">
      <c r="C350" s="262">
        <v>8</v>
      </c>
      <c r="D350" s="1244" t="str">
        <f>IF(D339="","",IF(COUNTIF(INDEX(CNTR_IOSupplyChain,MATCH(D339,CNTR_IOProcAndPrec,0),),C350)=0,"",INDEX(CNTR_IOProcAndPrec,MATCH(C350,INDEX(CNTR_IOSupplyChain,MATCH(D339,CNTR_IOProcAndPrec,0),),0))))</f>
        <v/>
      </c>
      <c r="E350" s="1245"/>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x14ac:dyDescent="0.25">
      <c r="C351" s="262">
        <v>9</v>
      </c>
      <c r="D351" s="1244" t="str">
        <f>IF(D339="","",IF(COUNTIF(INDEX(CNTR_IOSupplyChain,MATCH(D339,CNTR_IOProcAndPrec,0),),C351)=0,"",INDEX(CNTR_IOProcAndPrec,MATCH(C351,INDEX(CNTR_IOSupplyChain,MATCH(D339,CNTR_IOProcAndPrec,0),),0))))</f>
        <v/>
      </c>
      <c r="E351" s="1245"/>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x14ac:dyDescent="0.25">
      <c r="C352" s="262">
        <v>10</v>
      </c>
      <c r="D352" s="1244" t="str">
        <f>IF(D339="","",IF(COUNTIF(INDEX(CNTR_IOSupplyChain,MATCH(D339,CNTR_IOProcAndPrec,0),),C352)=0,"",INDEX(CNTR_IOProcAndPrec,MATCH(C352,INDEX(CNTR_IOSupplyChain,MATCH(D339,CNTR_IOProcAndPrec,0),),0))))</f>
        <v/>
      </c>
      <c r="E352" s="1245"/>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x14ac:dyDescent="0.25">
      <c r="C353" s="262">
        <v>11</v>
      </c>
      <c r="D353" s="1244" t="str">
        <f>IF(D339="","",IF(COUNTIF(INDEX(CNTR_IOSupplyChain,MATCH(D339,CNTR_IOProcAndPrec,0),),C353)=0,"",INDEX(CNTR_IOProcAndPrec,MATCH(C353,INDEX(CNTR_IOSupplyChain,MATCH(D339,CNTR_IOProcAndPrec,0),),0))))</f>
        <v/>
      </c>
      <c r="E353" s="1245"/>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x14ac:dyDescent="0.25">
      <c r="C354" s="262">
        <v>12</v>
      </c>
      <c r="D354" s="1244" t="str">
        <f>IF(D339="","",IF(COUNTIF(INDEX(CNTR_IOSupplyChain,MATCH(D339,CNTR_IOProcAndPrec,0),),C354)=0,"",INDEX(CNTR_IOProcAndPrec,MATCH(C354,INDEX(CNTR_IOSupplyChain,MATCH(D339,CNTR_IOProcAndPrec,0),),0))))</f>
        <v/>
      </c>
      <c r="E354" s="1245"/>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x14ac:dyDescent="0.25">
      <c r="C355" s="262">
        <v>13</v>
      </c>
      <c r="D355" s="1244" t="str">
        <f>IF(D339="","",IF(COUNTIF(INDEX(CNTR_IOSupplyChain,MATCH(D339,CNTR_IOProcAndPrec,0),),C355)=0,"",INDEX(CNTR_IOProcAndPrec,MATCH(C355,INDEX(CNTR_IOSupplyChain,MATCH(D339,CNTR_IOProcAndPrec,0),),0))))</f>
        <v/>
      </c>
      <c r="E355" s="1245"/>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x14ac:dyDescent="0.25">
      <c r="C356" s="262">
        <v>14</v>
      </c>
      <c r="D356" s="1244" t="str">
        <f>IF(D339="","",IF(COUNTIF(INDEX(CNTR_IOSupplyChain,MATCH(D339,CNTR_IOProcAndPrec,0),),C356)=0,"",INDEX(CNTR_IOProcAndPrec,MATCH(C356,INDEX(CNTR_IOSupplyChain,MATCH(D339,CNTR_IOProcAndPrec,0),),0))))</f>
        <v/>
      </c>
      <c r="E356" s="1245"/>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x14ac:dyDescent="0.25">
      <c r="C357" s="262">
        <v>15</v>
      </c>
      <c r="D357" s="1244" t="str">
        <f>IF(D339="","",IF(COUNTIF(INDEX(CNTR_IOSupplyChain,MATCH(D339,CNTR_IOProcAndPrec,0),),C357)=0,"",INDEX(CNTR_IOProcAndPrec,MATCH(C357,INDEX(CNTR_IOSupplyChain,MATCH(D339,CNTR_IOProcAndPrec,0),),0))))</f>
        <v/>
      </c>
      <c r="E357" s="1245"/>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x14ac:dyDescent="0.25">
      <c r="C358" s="262">
        <v>16</v>
      </c>
      <c r="D358" s="1244" t="str">
        <f>IF(D339="","",IF(COUNTIF(INDEX(CNTR_IOSupplyChain,MATCH(D339,CNTR_IOProcAndPrec,0),),C358)=0,"",INDEX(CNTR_IOProcAndPrec,MATCH(C358,INDEX(CNTR_IOSupplyChain,MATCH(D339,CNTR_IOProcAndPrec,0),),0))))</f>
        <v/>
      </c>
      <c r="E358" s="1245"/>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x14ac:dyDescent="0.25">
      <c r="C359" s="262">
        <v>17</v>
      </c>
      <c r="D359" s="1244" t="str">
        <f>IF(D339="","",IF(COUNTIF(INDEX(CNTR_IOSupplyChain,MATCH(D339,CNTR_IOProcAndPrec,0),),C359)=0,"",INDEX(CNTR_IOProcAndPrec,MATCH(C359,INDEX(CNTR_IOSupplyChain,MATCH(D339,CNTR_IOProcAndPrec,0),),0))))</f>
        <v/>
      </c>
      <c r="E359" s="1245"/>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x14ac:dyDescent="0.25">
      <c r="C360" s="262">
        <v>18</v>
      </c>
      <c r="D360" s="1244" t="str">
        <f>IF(D339="","",IF(COUNTIF(INDEX(CNTR_IOSupplyChain,MATCH(D339,CNTR_IOProcAndPrec,0),),C360)=0,"",INDEX(CNTR_IOProcAndPrec,MATCH(C360,INDEX(CNTR_IOSupplyChain,MATCH(D339,CNTR_IOProcAndPrec,0),),0))))</f>
        <v/>
      </c>
      <c r="E360" s="1245"/>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x14ac:dyDescent="0.25">
      <c r="C361" s="262">
        <v>19</v>
      </c>
      <c r="D361" s="1244" t="str">
        <f>IF(D339="","",IF(COUNTIF(INDEX(CNTR_IOSupplyChain,MATCH(D339,CNTR_IOProcAndPrec,0),),C361)=0,"",INDEX(CNTR_IOProcAndPrec,MATCH(C361,INDEX(CNTR_IOSupplyChain,MATCH(D339,CNTR_IOProcAndPrec,0),),0))))</f>
        <v/>
      </c>
      <c r="E361" s="1245"/>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x14ac:dyDescent="0.25">
      <c r="C362" s="262">
        <v>20</v>
      </c>
      <c r="D362" s="1244" t="str">
        <f>IF(D339="","",IF(COUNTIF(INDEX(CNTR_IOSupplyChain,MATCH(D339,CNTR_IOProcAndPrec,0),),C362)=0,"",INDEX(CNTR_IOProcAndPrec,MATCH(C362,INDEX(CNTR_IOSupplyChain,MATCH(D339,CNTR_IOProcAndPrec,0),),0))))</f>
        <v/>
      </c>
      <c r="E362" s="1245"/>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x14ac:dyDescent="0.25">
      <c r="C363" s="262">
        <v>21</v>
      </c>
      <c r="D363" s="1244" t="str">
        <f>IF(D339="","",IF(COUNTIF(INDEX(CNTR_IOSupplyChain,MATCH(D339,CNTR_IOProcAndPrec,0),),C363)=0,"",INDEX(CNTR_IOProcAndPrec,MATCH(C363,INDEX(CNTR_IOSupplyChain,MATCH(D339,CNTR_IOProcAndPrec,0),),0))))</f>
        <v/>
      </c>
      <c r="E363" s="1245"/>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x14ac:dyDescent="0.25">
      <c r="C364" s="262">
        <v>22</v>
      </c>
      <c r="D364" s="1244" t="str">
        <f>IF(D339="","",IF(COUNTIF(INDEX(CNTR_IOSupplyChain,MATCH(D339,CNTR_IOProcAndPrec,0),),C364)=0,"",INDEX(CNTR_IOProcAndPrec,MATCH(C364,INDEX(CNTR_IOSupplyChain,MATCH(D339,CNTR_IOProcAndPrec,0),),0))))</f>
        <v/>
      </c>
      <c r="E364" s="1245"/>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x14ac:dyDescent="0.25">
      <c r="C365" s="262">
        <v>23</v>
      </c>
      <c r="D365" s="1244" t="str">
        <f>IF(D339="","",IF(COUNTIF(INDEX(CNTR_IOSupplyChain,MATCH(D339,CNTR_IOProcAndPrec,0),),C365)=0,"",INDEX(CNTR_IOProcAndPrec,MATCH(C365,INDEX(CNTR_IOSupplyChain,MATCH(D339,CNTR_IOProcAndPrec,0),),0))))</f>
        <v/>
      </c>
      <c r="E365" s="1245"/>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x14ac:dyDescent="0.25">
      <c r="C366" s="262">
        <v>24</v>
      </c>
      <c r="D366" s="1244" t="str">
        <f>IF(D339="","",IF(COUNTIF(INDEX(CNTR_IOSupplyChain,MATCH(D339,CNTR_IOProcAndPrec,0),),C366)=0,"",INDEX(CNTR_IOProcAndPrec,MATCH(C366,INDEX(CNTR_IOSupplyChain,MATCH(D339,CNTR_IOProcAndPrec,0),),0))))</f>
        <v/>
      </c>
      <c r="E366" s="1245"/>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x14ac:dyDescent="0.25">
      <c r="C367" s="262">
        <v>25</v>
      </c>
      <c r="D367" s="1244" t="str">
        <f>IF(D339="","",IF(COUNTIF(INDEX(CNTR_IOSupplyChain,MATCH(D339,CNTR_IOProcAndPrec,0),),C367)=0,"",INDEX(CNTR_IOProcAndPrec,MATCH(C367,INDEX(CNTR_IOSupplyChain,MATCH(D339,CNTR_IOProcAndPrec,0),),0))))</f>
        <v/>
      </c>
      <c r="E367" s="1245"/>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x14ac:dyDescent="0.25">
      <c r="C368" s="262">
        <v>26</v>
      </c>
      <c r="D368" s="1244" t="str">
        <f>IF(D339="","",IF(COUNTIF(INDEX(CNTR_IOSupplyChain,MATCH(D339,CNTR_IOProcAndPrec,0),),C368)=0,"",INDEX(CNTR_IOProcAndPrec,MATCH(C368,INDEX(CNTR_IOSupplyChain,MATCH(D339,CNTR_IOProcAndPrec,0),),0))))</f>
        <v/>
      </c>
      <c r="E368" s="1245"/>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x14ac:dyDescent="0.25">
      <c r="C369" s="262">
        <v>27</v>
      </c>
      <c r="D369" s="1244" t="str">
        <f>IF(D339="","",IF(COUNTIF(INDEX(CNTR_IOSupplyChain,MATCH(D339,CNTR_IOProcAndPrec,0),),C369)=0,"",INDEX(CNTR_IOProcAndPrec,MATCH(C369,INDEX(CNTR_IOSupplyChain,MATCH(D339,CNTR_IOProcAndPrec,0),),0))))</f>
        <v/>
      </c>
      <c r="E369" s="1245"/>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x14ac:dyDescent="0.25">
      <c r="C370" s="262">
        <v>28</v>
      </c>
      <c r="D370" s="1244" t="str">
        <f>IF(D339="","",IF(COUNTIF(INDEX(CNTR_IOSupplyChain,MATCH(D339,CNTR_IOProcAndPrec,0),),C370)=0,"",INDEX(CNTR_IOProcAndPrec,MATCH(C370,INDEX(CNTR_IOSupplyChain,MATCH(D339,CNTR_IOProcAndPrec,0),),0))))</f>
        <v/>
      </c>
      <c r="E370" s="1245"/>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x14ac:dyDescent="0.25">
      <c r="C371" s="262">
        <v>29</v>
      </c>
      <c r="D371" s="1244" t="str">
        <f>IF(D339="","",IF(COUNTIF(INDEX(CNTR_IOSupplyChain,MATCH(D339,CNTR_IOProcAndPrec,0),),C371)=0,"",INDEX(CNTR_IOProcAndPrec,MATCH(C371,INDEX(CNTR_IOSupplyChain,MATCH(D339,CNTR_IOProcAndPrec,0),),0))))</f>
        <v/>
      </c>
      <c r="E371" s="1245"/>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x14ac:dyDescent="0.3">
      <c r="C372" s="262">
        <v>30</v>
      </c>
      <c r="D372" s="1277" t="str">
        <f>IF(D339="","",IF(COUNTIF(INDEX(CNTR_IOSupplyChain,MATCH(D339,CNTR_IOProcAndPrec,0),),C372)=0,"",INDEX(CNTR_IOProcAndPrec,MATCH(C372,INDEX(CNTR_IOSupplyChain,MATCH(D339,CNTR_IOProcAndPrec,0),),0))))</f>
        <v/>
      </c>
      <c r="E372" s="1278"/>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x14ac:dyDescent="0.3">
      <c r="I373" s="799"/>
      <c r="J373" s="799"/>
      <c r="K373" s="799"/>
      <c r="P373" s="799"/>
    </row>
    <row r="374" spans="1:41" ht="12.75" customHeight="1" thickBot="1" x14ac:dyDescent="0.3">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x14ac:dyDescent="0.25">
      <c r="A375" s="251"/>
      <c r="C375" s="1239">
        <f>C339+1</f>
        <v>7</v>
      </c>
      <c r="D375" s="1246" t="str">
        <f>IF(INDEX(CNTR_List_ExistProdProcNames,C375)=CONST_NA,"",INDEX(CNTR_List_ExistProdProcNames,C375))</f>
        <v/>
      </c>
      <c r="E375" s="1247"/>
      <c r="F375" s="1250" t="str">
        <f>Translations!$B$107</f>
        <v>Aggregated goods category</v>
      </c>
      <c r="G375" s="253" t="str">
        <f>Translations!$B$584</f>
        <v>Mass share</v>
      </c>
      <c r="H375" s="1252"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52" t="str">
        <f>Translations!$B$594</f>
        <v>Source of electricity EF</v>
      </c>
      <c r="P375" s="801" t="str">
        <f>Translations!$B$597</f>
        <v>Specific electricity</v>
      </c>
      <c r="Q375" s="1237" t="s">
        <v>1295</v>
      </c>
      <c r="R375" s="1271" t="str">
        <f>Translations!$B$351</f>
        <v>CP due (per t or MWh)</v>
      </c>
      <c r="S375" s="1273"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x14ac:dyDescent="0.3">
      <c r="A376" s="251"/>
      <c r="C376" s="1240"/>
      <c r="D376" s="1248"/>
      <c r="E376" s="1249"/>
      <c r="F376" s="1251"/>
      <c r="G376" s="254" t="str">
        <f>IF($F377="",CONST_t,INDEX(CONST_LIST_GoodsUnit,MATCH($F377,CONST_LIST_Goods,0))) &amp;"/"&amp; IF($F377="",CONST_t,INDEX(CONST_LIST_GoodsUnit,MATCH($F377,CONST_LIST_Goods,0)))</f>
        <v>t/t</v>
      </c>
      <c r="H376" s="1253"/>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53"/>
      <c r="P376" s="802" t="str">
        <f>CONST_MWh &amp; "/" &amp; IF($F377="",CONST_t,INDEX(CONST_LIST_GoodsUnit,MATCH($F377,CONST_LIST_Goods,0)))</f>
        <v>MWh/t</v>
      </c>
      <c r="Q376" s="1238"/>
      <c r="R376" s="1272"/>
      <c r="S376" s="1274"/>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x14ac:dyDescent="0.3">
      <c r="C377" s="1241"/>
      <c r="D377" s="1254" t="str">
        <f>Translations!$B$600</f>
        <v>Total production process</v>
      </c>
      <c r="E377" s="1255"/>
      <c r="F377" s="256" t="str">
        <f>IF(D378="","",INDEX(CNTR_List_ExistProdProc,MATCH(D378,CNTR_List_ExistProdProcNames,0)))</f>
        <v/>
      </c>
      <c r="G377" s="257" t="s">
        <v>1329</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1329</v>
      </c>
      <c r="P377" s="795" t="str">
        <f>IF(COUNT(P378:P408)&gt;0,SUM(P378:P408),"")</f>
        <v/>
      </c>
      <c r="Q377" s="810" t="s">
        <v>1329</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1355</v>
      </c>
    </row>
    <row r="378" spans="1:41" ht="12.75" customHeight="1" thickBot="1" x14ac:dyDescent="0.3">
      <c r="D378" s="1269" t="str">
        <f>D375</f>
        <v/>
      </c>
      <c r="E378" s="1270"/>
      <c r="F378" s="286" t="str">
        <f>IF(D378="","",INDEX(CNTR_List_ExistProdProc,MATCH(D378,CNTR_List_ExistProdProcNames,0)))</f>
        <v/>
      </c>
      <c r="G378" s="259">
        <v>1</v>
      </c>
      <c r="H378" s="287" t="s">
        <v>1329</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x14ac:dyDescent="0.25">
      <c r="C379" s="262">
        <v>1</v>
      </c>
      <c r="D379" s="1242" t="str">
        <f>IF(D375="","",IF(COUNTIF(INDEX(CNTR_IOSupplyChain,MATCH(D375,CNTR_IOProcAndPrec,0),),C379)=0,"",INDEX(CNTR_IOProcAndPrec,MATCH(C379,INDEX(CNTR_IOSupplyChain,MATCH(D375,CNTR_IOProcAndPrec,0),),0))))</f>
        <v/>
      </c>
      <c r="E379" s="1243"/>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x14ac:dyDescent="0.25">
      <c r="C380" s="262">
        <v>2</v>
      </c>
      <c r="D380" s="1244" t="str">
        <f>IF(D375="","",IF(COUNTIF(INDEX(CNTR_IOSupplyChain,MATCH(D375,CNTR_IOProcAndPrec,0),),C380)=0,"",INDEX(CNTR_IOProcAndPrec,MATCH(C380,INDEX(CNTR_IOSupplyChain,MATCH(D375,CNTR_IOProcAndPrec,0),),0))))</f>
        <v/>
      </c>
      <c r="E380" s="1245"/>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x14ac:dyDescent="0.25">
      <c r="C381" s="262">
        <v>3</v>
      </c>
      <c r="D381" s="1244" t="str">
        <f>IF(D375="","",IF(COUNTIF(INDEX(CNTR_IOSupplyChain,MATCH(D375,CNTR_IOProcAndPrec,0),),C381)=0,"",INDEX(CNTR_IOProcAndPrec,MATCH(C381,INDEX(CNTR_IOSupplyChain,MATCH(D375,CNTR_IOProcAndPrec,0),),0))))</f>
        <v/>
      </c>
      <c r="E381" s="1245"/>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x14ac:dyDescent="0.25">
      <c r="C382" s="262">
        <v>4</v>
      </c>
      <c r="D382" s="1244" t="str">
        <f>IF(D375="","",IF(COUNTIF(INDEX(CNTR_IOSupplyChain,MATCH(D375,CNTR_IOProcAndPrec,0),),C382)=0,"",INDEX(CNTR_IOProcAndPrec,MATCH(C382,INDEX(CNTR_IOSupplyChain,MATCH(D375,CNTR_IOProcAndPrec,0),),0))))</f>
        <v/>
      </c>
      <c r="E382" s="1245"/>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x14ac:dyDescent="0.25">
      <c r="C383" s="262">
        <v>5</v>
      </c>
      <c r="D383" s="1244" t="str">
        <f>IF(D375="","",IF(COUNTIF(INDEX(CNTR_IOSupplyChain,MATCH(D375,CNTR_IOProcAndPrec,0),),C383)=0,"",INDEX(CNTR_IOProcAndPrec,MATCH(C383,INDEX(CNTR_IOSupplyChain,MATCH(D375,CNTR_IOProcAndPrec,0),),0))))</f>
        <v/>
      </c>
      <c r="E383" s="1245"/>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x14ac:dyDescent="0.25">
      <c r="C384" s="262">
        <v>6</v>
      </c>
      <c r="D384" s="1244" t="str">
        <f>IF(D375="","",IF(COUNTIF(INDEX(CNTR_IOSupplyChain,MATCH(D375,CNTR_IOProcAndPrec,0),),C384)=0,"",INDEX(CNTR_IOProcAndPrec,MATCH(C384,INDEX(CNTR_IOSupplyChain,MATCH(D375,CNTR_IOProcAndPrec,0),),0))))</f>
        <v/>
      </c>
      <c r="E384" s="1245"/>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x14ac:dyDescent="0.25">
      <c r="C385" s="262">
        <v>7</v>
      </c>
      <c r="D385" s="1244" t="str">
        <f>IF(D375="","",IF(COUNTIF(INDEX(CNTR_IOSupplyChain,MATCH(D375,CNTR_IOProcAndPrec,0),),C385)=0,"",INDEX(CNTR_IOProcAndPrec,MATCH(C385,INDEX(CNTR_IOSupplyChain,MATCH(D375,CNTR_IOProcAndPrec,0),),0))))</f>
        <v/>
      </c>
      <c r="E385" s="1245"/>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x14ac:dyDescent="0.25">
      <c r="C386" s="262">
        <v>8</v>
      </c>
      <c r="D386" s="1244" t="str">
        <f>IF(D375="","",IF(COUNTIF(INDEX(CNTR_IOSupplyChain,MATCH(D375,CNTR_IOProcAndPrec,0),),C386)=0,"",INDEX(CNTR_IOProcAndPrec,MATCH(C386,INDEX(CNTR_IOSupplyChain,MATCH(D375,CNTR_IOProcAndPrec,0),),0))))</f>
        <v/>
      </c>
      <c r="E386" s="1245"/>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x14ac:dyDescent="0.25">
      <c r="C387" s="262">
        <v>9</v>
      </c>
      <c r="D387" s="1244" t="str">
        <f>IF(D375="","",IF(COUNTIF(INDEX(CNTR_IOSupplyChain,MATCH(D375,CNTR_IOProcAndPrec,0),),C387)=0,"",INDEX(CNTR_IOProcAndPrec,MATCH(C387,INDEX(CNTR_IOSupplyChain,MATCH(D375,CNTR_IOProcAndPrec,0),),0))))</f>
        <v/>
      </c>
      <c r="E387" s="1245"/>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x14ac:dyDescent="0.25">
      <c r="C388" s="262">
        <v>10</v>
      </c>
      <c r="D388" s="1244" t="str">
        <f>IF(D375="","",IF(COUNTIF(INDEX(CNTR_IOSupplyChain,MATCH(D375,CNTR_IOProcAndPrec,0),),C388)=0,"",INDEX(CNTR_IOProcAndPrec,MATCH(C388,INDEX(CNTR_IOSupplyChain,MATCH(D375,CNTR_IOProcAndPrec,0),),0))))</f>
        <v/>
      </c>
      <c r="E388" s="1245"/>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x14ac:dyDescent="0.25">
      <c r="C389" s="262">
        <v>11</v>
      </c>
      <c r="D389" s="1244" t="str">
        <f>IF(D375="","",IF(COUNTIF(INDEX(CNTR_IOSupplyChain,MATCH(D375,CNTR_IOProcAndPrec,0),),C389)=0,"",INDEX(CNTR_IOProcAndPrec,MATCH(C389,INDEX(CNTR_IOSupplyChain,MATCH(D375,CNTR_IOProcAndPrec,0),),0))))</f>
        <v/>
      </c>
      <c r="E389" s="1245"/>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x14ac:dyDescent="0.25">
      <c r="C390" s="262">
        <v>12</v>
      </c>
      <c r="D390" s="1244" t="str">
        <f>IF(D375="","",IF(COUNTIF(INDEX(CNTR_IOSupplyChain,MATCH(D375,CNTR_IOProcAndPrec,0),),C390)=0,"",INDEX(CNTR_IOProcAndPrec,MATCH(C390,INDEX(CNTR_IOSupplyChain,MATCH(D375,CNTR_IOProcAndPrec,0),),0))))</f>
        <v/>
      </c>
      <c r="E390" s="1245"/>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x14ac:dyDescent="0.25">
      <c r="C391" s="262">
        <v>13</v>
      </c>
      <c r="D391" s="1244" t="str">
        <f>IF(D375="","",IF(COUNTIF(INDEX(CNTR_IOSupplyChain,MATCH(D375,CNTR_IOProcAndPrec,0),),C391)=0,"",INDEX(CNTR_IOProcAndPrec,MATCH(C391,INDEX(CNTR_IOSupplyChain,MATCH(D375,CNTR_IOProcAndPrec,0),),0))))</f>
        <v/>
      </c>
      <c r="E391" s="1245"/>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x14ac:dyDescent="0.25">
      <c r="C392" s="262">
        <v>14</v>
      </c>
      <c r="D392" s="1244" t="str">
        <f>IF(D375="","",IF(COUNTIF(INDEX(CNTR_IOSupplyChain,MATCH(D375,CNTR_IOProcAndPrec,0),),C392)=0,"",INDEX(CNTR_IOProcAndPrec,MATCH(C392,INDEX(CNTR_IOSupplyChain,MATCH(D375,CNTR_IOProcAndPrec,0),),0))))</f>
        <v/>
      </c>
      <c r="E392" s="1245"/>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x14ac:dyDescent="0.25">
      <c r="C393" s="262">
        <v>15</v>
      </c>
      <c r="D393" s="1244" t="str">
        <f>IF(D375="","",IF(COUNTIF(INDEX(CNTR_IOSupplyChain,MATCH(D375,CNTR_IOProcAndPrec,0),),C393)=0,"",INDEX(CNTR_IOProcAndPrec,MATCH(C393,INDEX(CNTR_IOSupplyChain,MATCH(D375,CNTR_IOProcAndPrec,0),),0))))</f>
        <v/>
      </c>
      <c r="E393" s="1245"/>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x14ac:dyDescent="0.25">
      <c r="C394" s="262">
        <v>16</v>
      </c>
      <c r="D394" s="1244" t="str">
        <f>IF(D375="","",IF(COUNTIF(INDEX(CNTR_IOSupplyChain,MATCH(D375,CNTR_IOProcAndPrec,0),),C394)=0,"",INDEX(CNTR_IOProcAndPrec,MATCH(C394,INDEX(CNTR_IOSupplyChain,MATCH(D375,CNTR_IOProcAndPrec,0),),0))))</f>
        <v/>
      </c>
      <c r="E394" s="1245"/>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x14ac:dyDescent="0.25">
      <c r="C395" s="262">
        <v>17</v>
      </c>
      <c r="D395" s="1244" t="str">
        <f>IF(D375="","",IF(COUNTIF(INDEX(CNTR_IOSupplyChain,MATCH(D375,CNTR_IOProcAndPrec,0),),C395)=0,"",INDEX(CNTR_IOProcAndPrec,MATCH(C395,INDEX(CNTR_IOSupplyChain,MATCH(D375,CNTR_IOProcAndPrec,0),),0))))</f>
        <v/>
      </c>
      <c r="E395" s="1245"/>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x14ac:dyDescent="0.25">
      <c r="C396" s="262">
        <v>18</v>
      </c>
      <c r="D396" s="1244" t="str">
        <f>IF(D375="","",IF(COUNTIF(INDEX(CNTR_IOSupplyChain,MATCH(D375,CNTR_IOProcAndPrec,0),),C396)=0,"",INDEX(CNTR_IOProcAndPrec,MATCH(C396,INDEX(CNTR_IOSupplyChain,MATCH(D375,CNTR_IOProcAndPrec,0),),0))))</f>
        <v/>
      </c>
      <c r="E396" s="1245"/>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x14ac:dyDescent="0.25">
      <c r="C397" s="262">
        <v>19</v>
      </c>
      <c r="D397" s="1244" t="str">
        <f>IF(D375="","",IF(COUNTIF(INDEX(CNTR_IOSupplyChain,MATCH(D375,CNTR_IOProcAndPrec,0),),C397)=0,"",INDEX(CNTR_IOProcAndPrec,MATCH(C397,INDEX(CNTR_IOSupplyChain,MATCH(D375,CNTR_IOProcAndPrec,0),),0))))</f>
        <v/>
      </c>
      <c r="E397" s="1245"/>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x14ac:dyDescent="0.25">
      <c r="C398" s="262">
        <v>20</v>
      </c>
      <c r="D398" s="1244" t="str">
        <f>IF(D375="","",IF(COUNTIF(INDEX(CNTR_IOSupplyChain,MATCH(D375,CNTR_IOProcAndPrec,0),),C398)=0,"",INDEX(CNTR_IOProcAndPrec,MATCH(C398,INDEX(CNTR_IOSupplyChain,MATCH(D375,CNTR_IOProcAndPrec,0),),0))))</f>
        <v/>
      </c>
      <c r="E398" s="1245"/>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x14ac:dyDescent="0.25">
      <c r="C399" s="262">
        <v>21</v>
      </c>
      <c r="D399" s="1244" t="str">
        <f>IF(D375="","",IF(COUNTIF(INDEX(CNTR_IOSupplyChain,MATCH(D375,CNTR_IOProcAndPrec,0),),C399)=0,"",INDEX(CNTR_IOProcAndPrec,MATCH(C399,INDEX(CNTR_IOSupplyChain,MATCH(D375,CNTR_IOProcAndPrec,0),),0))))</f>
        <v/>
      </c>
      <c r="E399" s="1245"/>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x14ac:dyDescent="0.25">
      <c r="C400" s="262">
        <v>22</v>
      </c>
      <c r="D400" s="1244" t="str">
        <f>IF(D375="","",IF(COUNTIF(INDEX(CNTR_IOSupplyChain,MATCH(D375,CNTR_IOProcAndPrec,0),),C400)=0,"",INDEX(CNTR_IOProcAndPrec,MATCH(C400,INDEX(CNTR_IOSupplyChain,MATCH(D375,CNTR_IOProcAndPrec,0),),0))))</f>
        <v/>
      </c>
      <c r="E400" s="1245"/>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x14ac:dyDescent="0.25">
      <c r="C401" s="262">
        <v>23</v>
      </c>
      <c r="D401" s="1244" t="str">
        <f>IF(D375="","",IF(COUNTIF(INDEX(CNTR_IOSupplyChain,MATCH(D375,CNTR_IOProcAndPrec,0),),C401)=0,"",INDEX(CNTR_IOProcAndPrec,MATCH(C401,INDEX(CNTR_IOSupplyChain,MATCH(D375,CNTR_IOProcAndPrec,0),),0))))</f>
        <v/>
      </c>
      <c r="E401" s="1245"/>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x14ac:dyDescent="0.25">
      <c r="C402" s="262">
        <v>24</v>
      </c>
      <c r="D402" s="1244" t="str">
        <f>IF(D375="","",IF(COUNTIF(INDEX(CNTR_IOSupplyChain,MATCH(D375,CNTR_IOProcAndPrec,0),),C402)=0,"",INDEX(CNTR_IOProcAndPrec,MATCH(C402,INDEX(CNTR_IOSupplyChain,MATCH(D375,CNTR_IOProcAndPrec,0),),0))))</f>
        <v/>
      </c>
      <c r="E402" s="1245"/>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x14ac:dyDescent="0.25">
      <c r="C403" s="262">
        <v>25</v>
      </c>
      <c r="D403" s="1244" t="str">
        <f>IF(D375="","",IF(COUNTIF(INDEX(CNTR_IOSupplyChain,MATCH(D375,CNTR_IOProcAndPrec,0),),C403)=0,"",INDEX(CNTR_IOProcAndPrec,MATCH(C403,INDEX(CNTR_IOSupplyChain,MATCH(D375,CNTR_IOProcAndPrec,0),),0))))</f>
        <v/>
      </c>
      <c r="E403" s="1245"/>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x14ac:dyDescent="0.25">
      <c r="C404" s="262">
        <v>26</v>
      </c>
      <c r="D404" s="1244" t="str">
        <f>IF(D375="","",IF(COUNTIF(INDEX(CNTR_IOSupplyChain,MATCH(D375,CNTR_IOProcAndPrec,0),),C404)=0,"",INDEX(CNTR_IOProcAndPrec,MATCH(C404,INDEX(CNTR_IOSupplyChain,MATCH(D375,CNTR_IOProcAndPrec,0),),0))))</f>
        <v/>
      </c>
      <c r="E404" s="1245"/>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x14ac:dyDescent="0.25">
      <c r="C405" s="262">
        <v>27</v>
      </c>
      <c r="D405" s="1244" t="str">
        <f>IF(D375="","",IF(COUNTIF(INDEX(CNTR_IOSupplyChain,MATCH(D375,CNTR_IOProcAndPrec,0),),C405)=0,"",INDEX(CNTR_IOProcAndPrec,MATCH(C405,INDEX(CNTR_IOSupplyChain,MATCH(D375,CNTR_IOProcAndPrec,0),),0))))</f>
        <v/>
      </c>
      <c r="E405" s="1245"/>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x14ac:dyDescent="0.25">
      <c r="C406" s="262">
        <v>28</v>
      </c>
      <c r="D406" s="1244" t="str">
        <f>IF(D375="","",IF(COUNTIF(INDEX(CNTR_IOSupplyChain,MATCH(D375,CNTR_IOProcAndPrec,0),),C406)=0,"",INDEX(CNTR_IOProcAndPrec,MATCH(C406,INDEX(CNTR_IOSupplyChain,MATCH(D375,CNTR_IOProcAndPrec,0),),0))))</f>
        <v/>
      </c>
      <c r="E406" s="1245"/>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x14ac:dyDescent="0.25">
      <c r="C407" s="262">
        <v>29</v>
      </c>
      <c r="D407" s="1244" t="str">
        <f>IF(D375="","",IF(COUNTIF(INDEX(CNTR_IOSupplyChain,MATCH(D375,CNTR_IOProcAndPrec,0),),C407)=0,"",INDEX(CNTR_IOProcAndPrec,MATCH(C407,INDEX(CNTR_IOSupplyChain,MATCH(D375,CNTR_IOProcAndPrec,0),),0))))</f>
        <v/>
      </c>
      <c r="E407" s="1245"/>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x14ac:dyDescent="0.3">
      <c r="C408" s="262">
        <v>30</v>
      </c>
      <c r="D408" s="1277" t="str">
        <f>IF(D375="","",IF(COUNTIF(INDEX(CNTR_IOSupplyChain,MATCH(D375,CNTR_IOProcAndPrec,0),),C408)=0,"",INDEX(CNTR_IOProcAndPrec,MATCH(C408,INDEX(CNTR_IOSupplyChain,MATCH(D375,CNTR_IOProcAndPrec,0),),0))))</f>
        <v/>
      </c>
      <c r="E408" s="1278"/>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x14ac:dyDescent="0.3">
      <c r="I409" s="799"/>
      <c r="J409" s="799"/>
      <c r="K409" s="799"/>
      <c r="P409" s="799"/>
    </row>
    <row r="410" spans="1:41" ht="12.75" customHeight="1" thickBot="1" x14ac:dyDescent="0.3">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x14ac:dyDescent="0.25">
      <c r="A411" s="251"/>
      <c r="C411" s="1239">
        <f>C375+1</f>
        <v>8</v>
      </c>
      <c r="D411" s="1246" t="str">
        <f>IF(INDEX(CNTR_List_ExistProdProcNames,C411)=CONST_NA,"",INDEX(CNTR_List_ExistProdProcNames,C411))</f>
        <v/>
      </c>
      <c r="E411" s="1247"/>
      <c r="F411" s="1250" t="str">
        <f>Translations!$B$107</f>
        <v>Aggregated goods category</v>
      </c>
      <c r="G411" s="253" t="str">
        <f>Translations!$B$584</f>
        <v>Mass share</v>
      </c>
      <c r="H411" s="1252"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52" t="str">
        <f>Translations!$B$594</f>
        <v>Source of electricity EF</v>
      </c>
      <c r="P411" s="801" t="str">
        <f>Translations!$B$597</f>
        <v>Specific electricity</v>
      </c>
      <c r="Q411" s="1237" t="s">
        <v>1295</v>
      </c>
      <c r="R411" s="1271" t="str">
        <f>Translations!$B$351</f>
        <v>CP due (per t or MWh)</v>
      </c>
      <c r="S411" s="1273"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x14ac:dyDescent="0.3">
      <c r="A412" s="251"/>
      <c r="C412" s="1240"/>
      <c r="D412" s="1248"/>
      <c r="E412" s="1249"/>
      <c r="F412" s="1251"/>
      <c r="G412" s="254" t="str">
        <f>IF($F413="",CONST_t,INDEX(CONST_LIST_GoodsUnit,MATCH($F413,CONST_LIST_Goods,0))) &amp;"/"&amp; IF($F413="",CONST_t,INDEX(CONST_LIST_GoodsUnit,MATCH($F413,CONST_LIST_Goods,0)))</f>
        <v>t/t</v>
      </c>
      <c r="H412" s="1253"/>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53"/>
      <c r="P412" s="802" t="str">
        <f>CONST_MWh &amp; "/" &amp; IF($F413="",CONST_t,INDEX(CONST_LIST_GoodsUnit,MATCH($F413,CONST_LIST_Goods,0)))</f>
        <v>MWh/t</v>
      </c>
      <c r="Q412" s="1238"/>
      <c r="R412" s="1272"/>
      <c r="S412" s="1274"/>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x14ac:dyDescent="0.3">
      <c r="C413" s="1241"/>
      <c r="D413" s="1254" t="str">
        <f>Translations!$B$600</f>
        <v>Total production process</v>
      </c>
      <c r="E413" s="1255"/>
      <c r="F413" s="256" t="str">
        <f>IF(D414="","",INDEX(CNTR_List_ExistProdProc,MATCH(D414,CNTR_List_ExistProdProcNames,0)))</f>
        <v/>
      </c>
      <c r="G413" s="257" t="s">
        <v>1329</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1329</v>
      </c>
      <c r="P413" s="795" t="str">
        <f>IF(COUNT(P414:P444)&gt;0,SUM(P414:P444),"")</f>
        <v/>
      </c>
      <c r="Q413" s="810" t="s">
        <v>1329</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1355</v>
      </c>
    </row>
    <row r="414" spans="1:41" ht="12.75" customHeight="1" thickBot="1" x14ac:dyDescent="0.3">
      <c r="D414" s="1269" t="str">
        <f>D411</f>
        <v/>
      </c>
      <c r="E414" s="1270"/>
      <c r="F414" s="286" t="str">
        <f>IF(D414="","",INDEX(CNTR_List_ExistProdProc,MATCH(D414,CNTR_List_ExistProdProcNames,0)))</f>
        <v/>
      </c>
      <c r="G414" s="259">
        <v>1</v>
      </c>
      <c r="H414" s="287" t="s">
        <v>1329</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x14ac:dyDescent="0.25">
      <c r="C415" s="262">
        <v>1</v>
      </c>
      <c r="D415" s="1242" t="str">
        <f>IF(D411="","",IF(COUNTIF(INDEX(CNTR_IOSupplyChain,MATCH(D411,CNTR_IOProcAndPrec,0),),C415)=0,"",INDEX(CNTR_IOProcAndPrec,MATCH(C415,INDEX(CNTR_IOSupplyChain,MATCH(D411,CNTR_IOProcAndPrec,0),),0))))</f>
        <v/>
      </c>
      <c r="E415" s="1243"/>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x14ac:dyDescent="0.25">
      <c r="C416" s="262">
        <v>2</v>
      </c>
      <c r="D416" s="1244" t="str">
        <f>IF(D411="","",IF(COUNTIF(INDEX(CNTR_IOSupplyChain,MATCH(D411,CNTR_IOProcAndPrec,0),),C416)=0,"",INDEX(CNTR_IOProcAndPrec,MATCH(C416,INDEX(CNTR_IOSupplyChain,MATCH(D411,CNTR_IOProcAndPrec,0),),0))))</f>
        <v/>
      </c>
      <c r="E416" s="1245"/>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x14ac:dyDescent="0.25">
      <c r="C417" s="262">
        <v>3</v>
      </c>
      <c r="D417" s="1244" t="str">
        <f>IF(D411="","",IF(COUNTIF(INDEX(CNTR_IOSupplyChain,MATCH(D411,CNTR_IOProcAndPrec,0),),C417)=0,"",INDEX(CNTR_IOProcAndPrec,MATCH(C417,INDEX(CNTR_IOSupplyChain,MATCH(D411,CNTR_IOProcAndPrec,0),),0))))</f>
        <v/>
      </c>
      <c r="E417" s="1245"/>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x14ac:dyDescent="0.25">
      <c r="C418" s="262">
        <v>4</v>
      </c>
      <c r="D418" s="1244" t="str">
        <f>IF(D411="","",IF(COUNTIF(INDEX(CNTR_IOSupplyChain,MATCH(D411,CNTR_IOProcAndPrec,0),),C418)=0,"",INDEX(CNTR_IOProcAndPrec,MATCH(C418,INDEX(CNTR_IOSupplyChain,MATCH(D411,CNTR_IOProcAndPrec,0),),0))))</f>
        <v/>
      </c>
      <c r="E418" s="1245"/>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x14ac:dyDescent="0.25">
      <c r="C419" s="262">
        <v>5</v>
      </c>
      <c r="D419" s="1244" t="str">
        <f>IF(D411="","",IF(COUNTIF(INDEX(CNTR_IOSupplyChain,MATCH(D411,CNTR_IOProcAndPrec,0),),C419)=0,"",INDEX(CNTR_IOProcAndPrec,MATCH(C419,INDEX(CNTR_IOSupplyChain,MATCH(D411,CNTR_IOProcAndPrec,0),),0))))</f>
        <v/>
      </c>
      <c r="E419" s="1245"/>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x14ac:dyDescent="0.25">
      <c r="C420" s="262">
        <v>6</v>
      </c>
      <c r="D420" s="1244" t="str">
        <f>IF(D411="","",IF(COUNTIF(INDEX(CNTR_IOSupplyChain,MATCH(D411,CNTR_IOProcAndPrec,0),),C420)=0,"",INDEX(CNTR_IOProcAndPrec,MATCH(C420,INDEX(CNTR_IOSupplyChain,MATCH(D411,CNTR_IOProcAndPrec,0),),0))))</f>
        <v/>
      </c>
      <c r="E420" s="1245"/>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x14ac:dyDescent="0.25">
      <c r="C421" s="262">
        <v>7</v>
      </c>
      <c r="D421" s="1244" t="str">
        <f>IF(D411="","",IF(COUNTIF(INDEX(CNTR_IOSupplyChain,MATCH(D411,CNTR_IOProcAndPrec,0),),C421)=0,"",INDEX(CNTR_IOProcAndPrec,MATCH(C421,INDEX(CNTR_IOSupplyChain,MATCH(D411,CNTR_IOProcAndPrec,0),),0))))</f>
        <v/>
      </c>
      <c r="E421" s="1245"/>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x14ac:dyDescent="0.25">
      <c r="C422" s="262">
        <v>8</v>
      </c>
      <c r="D422" s="1244" t="str">
        <f>IF(D411="","",IF(COUNTIF(INDEX(CNTR_IOSupplyChain,MATCH(D411,CNTR_IOProcAndPrec,0),),C422)=0,"",INDEX(CNTR_IOProcAndPrec,MATCH(C422,INDEX(CNTR_IOSupplyChain,MATCH(D411,CNTR_IOProcAndPrec,0),),0))))</f>
        <v/>
      </c>
      <c r="E422" s="1245"/>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x14ac:dyDescent="0.25">
      <c r="C423" s="262">
        <v>9</v>
      </c>
      <c r="D423" s="1244" t="str">
        <f>IF(D411="","",IF(COUNTIF(INDEX(CNTR_IOSupplyChain,MATCH(D411,CNTR_IOProcAndPrec,0),),C423)=0,"",INDEX(CNTR_IOProcAndPrec,MATCH(C423,INDEX(CNTR_IOSupplyChain,MATCH(D411,CNTR_IOProcAndPrec,0),),0))))</f>
        <v/>
      </c>
      <c r="E423" s="1245"/>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x14ac:dyDescent="0.25">
      <c r="C424" s="262">
        <v>10</v>
      </c>
      <c r="D424" s="1244" t="str">
        <f>IF(D411="","",IF(COUNTIF(INDEX(CNTR_IOSupplyChain,MATCH(D411,CNTR_IOProcAndPrec,0),),C424)=0,"",INDEX(CNTR_IOProcAndPrec,MATCH(C424,INDEX(CNTR_IOSupplyChain,MATCH(D411,CNTR_IOProcAndPrec,0),),0))))</f>
        <v/>
      </c>
      <c r="E424" s="1245"/>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x14ac:dyDescent="0.25">
      <c r="C425" s="262">
        <v>11</v>
      </c>
      <c r="D425" s="1244" t="str">
        <f>IF(D411="","",IF(COUNTIF(INDEX(CNTR_IOSupplyChain,MATCH(D411,CNTR_IOProcAndPrec,0),),C425)=0,"",INDEX(CNTR_IOProcAndPrec,MATCH(C425,INDEX(CNTR_IOSupplyChain,MATCH(D411,CNTR_IOProcAndPrec,0),),0))))</f>
        <v/>
      </c>
      <c r="E425" s="1245"/>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x14ac:dyDescent="0.25">
      <c r="C426" s="262">
        <v>12</v>
      </c>
      <c r="D426" s="1244" t="str">
        <f>IF(D411="","",IF(COUNTIF(INDEX(CNTR_IOSupplyChain,MATCH(D411,CNTR_IOProcAndPrec,0),),C426)=0,"",INDEX(CNTR_IOProcAndPrec,MATCH(C426,INDEX(CNTR_IOSupplyChain,MATCH(D411,CNTR_IOProcAndPrec,0),),0))))</f>
        <v/>
      </c>
      <c r="E426" s="1245"/>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x14ac:dyDescent="0.25">
      <c r="C427" s="262">
        <v>13</v>
      </c>
      <c r="D427" s="1244" t="str">
        <f>IF(D411="","",IF(COUNTIF(INDEX(CNTR_IOSupplyChain,MATCH(D411,CNTR_IOProcAndPrec,0),),C427)=0,"",INDEX(CNTR_IOProcAndPrec,MATCH(C427,INDEX(CNTR_IOSupplyChain,MATCH(D411,CNTR_IOProcAndPrec,0),),0))))</f>
        <v/>
      </c>
      <c r="E427" s="1245"/>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x14ac:dyDescent="0.25">
      <c r="C428" s="262">
        <v>14</v>
      </c>
      <c r="D428" s="1244" t="str">
        <f>IF(D411="","",IF(COUNTIF(INDEX(CNTR_IOSupplyChain,MATCH(D411,CNTR_IOProcAndPrec,0),),C428)=0,"",INDEX(CNTR_IOProcAndPrec,MATCH(C428,INDEX(CNTR_IOSupplyChain,MATCH(D411,CNTR_IOProcAndPrec,0),),0))))</f>
        <v/>
      </c>
      <c r="E428" s="1245"/>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x14ac:dyDescent="0.25">
      <c r="C429" s="262">
        <v>15</v>
      </c>
      <c r="D429" s="1244" t="str">
        <f>IF(D411="","",IF(COUNTIF(INDEX(CNTR_IOSupplyChain,MATCH(D411,CNTR_IOProcAndPrec,0),),C429)=0,"",INDEX(CNTR_IOProcAndPrec,MATCH(C429,INDEX(CNTR_IOSupplyChain,MATCH(D411,CNTR_IOProcAndPrec,0),),0))))</f>
        <v/>
      </c>
      <c r="E429" s="1245"/>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x14ac:dyDescent="0.25">
      <c r="C430" s="262">
        <v>16</v>
      </c>
      <c r="D430" s="1244" t="str">
        <f>IF(D411="","",IF(COUNTIF(INDEX(CNTR_IOSupplyChain,MATCH(D411,CNTR_IOProcAndPrec,0),),C430)=0,"",INDEX(CNTR_IOProcAndPrec,MATCH(C430,INDEX(CNTR_IOSupplyChain,MATCH(D411,CNTR_IOProcAndPrec,0),),0))))</f>
        <v/>
      </c>
      <c r="E430" s="1245"/>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x14ac:dyDescent="0.25">
      <c r="C431" s="262">
        <v>17</v>
      </c>
      <c r="D431" s="1244" t="str">
        <f>IF(D411="","",IF(COUNTIF(INDEX(CNTR_IOSupplyChain,MATCH(D411,CNTR_IOProcAndPrec,0),),C431)=0,"",INDEX(CNTR_IOProcAndPrec,MATCH(C431,INDEX(CNTR_IOSupplyChain,MATCH(D411,CNTR_IOProcAndPrec,0),),0))))</f>
        <v/>
      </c>
      <c r="E431" s="1245"/>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x14ac:dyDescent="0.25">
      <c r="C432" s="262">
        <v>18</v>
      </c>
      <c r="D432" s="1244" t="str">
        <f>IF(D411="","",IF(COUNTIF(INDEX(CNTR_IOSupplyChain,MATCH(D411,CNTR_IOProcAndPrec,0),),C432)=0,"",INDEX(CNTR_IOProcAndPrec,MATCH(C432,INDEX(CNTR_IOSupplyChain,MATCH(D411,CNTR_IOProcAndPrec,0),),0))))</f>
        <v/>
      </c>
      <c r="E432" s="1245"/>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x14ac:dyDescent="0.25">
      <c r="C433" s="262">
        <v>19</v>
      </c>
      <c r="D433" s="1244" t="str">
        <f>IF(D411="","",IF(COUNTIF(INDEX(CNTR_IOSupplyChain,MATCH(D411,CNTR_IOProcAndPrec,0),),C433)=0,"",INDEX(CNTR_IOProcAndPrec,MATCH(C433,INDEX(CNTR_IOSupplyChain,MATCH(D411,CNTR_IOProcAndPrec,0),),0))))</f>
        <v/>
      </c>
      <c r="E433" s="1245"/>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x14ac:dyDescent="0.25">
      <c r="C434" s="262">
        <v>20</v>
      </c>
      <c r="D434" s="1244" t="str">
        <f>IF(D411="","",IF(COUNTIF(INDEX(CNTR_IOSupplyChain,MATCH(D411,CNTR_IOProcAndPrec,0),),C434)=0,"",INDEX(CNTR_IOProcAndPrec,MATCH(C434,INDEX(CNTR_IOSupplyChain,MATCH(D411,CNTR_IOProcAndPrec,0),),0))))</f>
        <v/>
      </c>
      <c r="E434" s="1245"/>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x14ac:dyDescent="0.25">
      <c r="C435" s="262">
        <v>21</v>
      </c>
      <c r="D435" s="1244" t="str">
        <f>IF(D411="","",IF(COUNTIF(INDEX(CNTR_IOSupplyChain,MATCH(D411,CNTR_IOProcAndPrec,0),),C435)=0,"",INDEX(CNTR_IOProcAndPrec,MATCH(C435,INDEX(CNTR_IOSupplyChain,MATCH(D411,CNTR_IOProcAndPrec,0),),0))))</f>
        <v/>
      </c>
      <c r="E435" s="1245"/>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x14ac:dyDescent="0.25">
      <c r="C436" s="262">
        <v>22</v>
      </c>
      <c r="D436" s="1244" t="str">
        <f>IF(D411="","",IF(COUNTIF(INDEX(CNTR_IOSupplyChain,MATCH(D411,CNTR_IOProcAndPrec,0),),C436)=0,"",INDEX(CNTR_IOProcAndPrec,MATCH(C436,INDEX(CNTR_IOSupplyChain,MATCH(D411,CNTR_IOProcAndPrec,0),),0))))</f>
        <v/>
      </c>
      <c r="E436" s="1245"/>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x14ac:dyDescent="0.25">
      <c r="C437" s="262">
        <v>23</v>
      </c>
      <c r="D437" s="1244" t="str">
        <f>IF(D411="","",IF(COUNTIF(INDEX(CNTR_IOSupplyChain,MATCH(D411,CNTR_IOProcAndPrec,0),),C437)=0,"",INDEX(CNTR_IOProcAndPrec,MATCH(C437,INDEX(CNTR_IOSupplyChain,MATCH(D411,CNTR_IOProcAndPrec,0),),0))))</f>
        <v/>
      </c>
      <c r="E437" s="1245"/>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x14ac:dyDescent="0.25">
      <c r="C438" s="262">
        <v>24</v>
      </c>
      <c r="D438" s="1244" t="str">
        <f>IF(D411="","",IF(COUNTIF(INDEX(CNTR_IOSupplyChain,MATCH(D411,CNTR_IOProcAndPrec,0),),C438)=0,"",INDEX(CNTR_IOProcAndPrec,MATCH(C438,INDEX(CNTR_IOSupplyChain,MATCH(D411,CNTR_IOProcAndPrec,0),),0))))</f>
        <v/>
      </c>
      <c r="E438" s="1245"/>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x14ac:dyDescent="0.25">
      <c r="C439" s="262">
        <v>25</v>
      </c>
      <c r="D439" s="1244" t="str">
        <f>IF(D411="","",IF(COUNTIF(INDEX(CNTR_IOSupplyChain,MATCH(D411,CNTR_IOProcAndPrec,0),),C439)=0,"",INDEX(CNTR_IOProcAndPrec,MATCH(C439,INDEX(CNTR_IOSupplyChain,MATCH(D411,CNTR_IOProcAndPrec,0),),0))))</f>
        <v/>
      </c>
      <c r="E439" s="1245"/>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x14ac:dyDescent="0.25">
      <c r="C440" s="262">
        <v>26</v>
      </c>
      <c r="D440" s="1244" t="str">
        <f>IF(D411="","",IF(COUNTIF(INDEX(CNTR_IOSupplyChain,MATCH(D411,CNTR_IOProcAndPrec,0),),C440)=0,"",INDEX(CNTR_IOProcAndPrec,MATCH(C440,INDEX(CNTR_IOSupplyChain,MATCH(D411,CNTR_IOProcAndPrec,0),),0))))</f>
        <v/>
      </c>
      <c r="E440" s="1245"/>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x14ac:dyDescent="0.25">
      <c r="C441" s="262">
        <v>27</v>
      </c>
      <c r="D441" s="1244" t="str">
        <f>IF(D411="","",IF(COUNTIF(INDEX(CNTR_IOSupplyChain,MATCH(D411,CNTR_IOProcAndPrec,0),),C441)=0,"",INDEX(CNTR_IOProcAndPrec,MATCH(C441,INDEX(CNTR_IOSupplyChain,MATCH(D411,CNTR_IOProcAndPrec,0),),0))))</f>
        <v/>
      </c>
      <c r="E441" s="1245"/>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x14ac:dyDescent="0.25">
      <c r="C442" s="262">
        <v>28</v>
      </c>
      <c r="D442" s="1244" t="str">
        <f>IF(D411="","",IF(COUNTIF(INDEX(CNTR_IOSupplyChain,MATCH(D411,CNTR_IOProcAndPrec,0),),C442)=0,"",INDEX(CNTR_IOProcAndPrec,MATCH(C442,INDEX(CNTR_IOSupplyChain,MATCH(D411,CNTR_IOProcAndPrec,0),),0))))</f>
        <v/>
      </c>
      <c r="E442" s="1245"/>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x14ac:dyDescent="0.25">
      <c r="C443" s="262">
        <v>29</v>
      </c>
      <c r="D443" s="1244" t="str">
        <f>IF(D411="","",IF(COUNTIF(INDEX(CNTR_IOSupplyChain,MATCH(D411,CNTR_IOProcAndPrec,0),),C443)=0,"",INDEX(CNTR_IOProcAndPrec,MATCH(C443,INDEX(CNTR_IOSupplyChain,MATCH(D411,CNTR_IOProcAndPrec,0),),0))))</f>
        <v/>
      </c>
      <c r="E443" s="1245"/>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x14ac:dyDescent="0.3">
      <c r="C444" s="262">
        <v>30</v>
      </c>
      <c r="D444" s="1277" t="str">
        <f>IF(D411="","",IF(COUNTIF(INDEX(CNTR_IOSupplyChain,MATCH(D411,CNTR_IOProcAndPrec,0),),C444)=0,"",INDEX(CNTR_IOProcAndPrec,MATCH(C444,INDEX(CNTR_IOSupplyChain,MATCH(D411,CNTR_IOProcAndPrec,0),),0))))</f>
        <v/>
      </c>
      <c r="E444" s="1278"/>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x14ac:dyDescent="0.3">
      <c r="I445" s="799"/>
      <c r="J445" s="799"/>
      <c r="K445" s="799"/>
      <c r="P445" s="799"/>
    </row>
    <row r="446" spans="1:41" ht="12.75" customHeight="1" thickBot="1" x14ac:dyDescent="0.3">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x14ac:dyDescent="0.25">
      <c r="A447" s="251"/>
      <c r="C447" s="1239">
        <f>C411+1</f>
        <v>9</v>
      </c>
      <c r="D447" s="1246" t="str">
        <f>IF(INDEX(CNTR_List_ExistProdProcNames,C447)=CONST_NA,"",INDEX(CNTR_List_ExistProdProcNames,C447))</f>
        <v/>
      </c>
      <c r="E447" s="1247"/>
      <c r="F447" s="1250" t="str">
        <f>Translations!$B$107</f>
        <v>Aggregated goods category</v>
      </c>
      <c r="G447" s="253" t="str">
        <f>Translations!$B$584</f>
        <v>Mass share</v>
      </c>
      <c r="H447" s="1252"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52" t="str">
        <f>Translations!$B$594</f>
        <v>Source of electricity EF</v>
      </c>
      <c r="P447" s="801" t="str">
        <f>Translations!$B$597</f>
        <v>Specific electricity</v>
      </c>
      <c r="Q447" s="1237" t="s">
        <v>1295</v>
      </c>
      <c r="R447" s="1271" t="str">
        <f>Translations!$B$351</f>
        <v>CP due (per t or MWh)</v>
      </c>
      <c r="S447" s="1273"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x14ac:dyDescent="0.3">
      <c r="A448" s="251"/>
      <c r="C448" s="1240"/>
      <c r="D448" s="1248"/>
      <c r="E448" s="1249"/>
      <c r="F448" s="1251"/>
      <c r="G448" s="254" t="str">
        <f>IF($F449="",CONST_t,INDEX(CONST_LIST_GoodsUnit,MATCH($F449,CONST_LIST_Goods,0))) &amp;"/"&amp; IF($F449="",CONST_t,INDEX(CONST_LIST_GoodsUnit,MATCH($F449,CONST_LIST_Goods,0)))</f>
        <v>t/t</v>
      </c>
      <c r="H448" s="1253"/>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53"/>
      <c r="P448" s="802" t="str">
        <f>CONST_MWh &amp; "/" &amp; IF($F449="",CONST_t,INDEX(CONST_LIST_GoodsUnit,MATCH($F449,CONST_LIST_Goods,0)))</f>
        <v>MWh/t</v>
      </c>
      <c r="Q448" s="1238"/>
      <c r="R448" s="1272"/>
      <c r="S448" s="1274"/>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x14ac:dyDescent="0.3">
      <c r="C449" s="1241"/>
      <c r="D449" s="1254" t="str">
        <f>Translations!$B$600</f>
        <v>Total production process</v>
      </c>
      <c r="E449" s="1255"/>
      <c r="F449" s="256" t="str">
        <f>IF(D450="","",INDEX(CNTR_List_ExistProdProc,MATCH(D450,CNTR_List_ExistProdProcNames,0)))</f>
        <v/>
      </c>
      <c r="G449" s="257" t="s">
        <v>1329</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1329</v>
      </c>
      <c r="P449" s="795" t="str">
        <f>IF(COUNT(P450:P480)&gt;0,SUM(P450:P480),"")</f>
        <v/>
      </c>
      <c r="Q449" s="810" t="s">
        <v>1329</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1355</v>
      </c>
    </row>
    <row r="450" spans="3:33" ht="12.75" customHeight="1" thickBot="1" x14ac:dyDescent="0.3">
      <c r="D450" s="1269" t="str">
        <f>D447</f>
        <v/>
      </c>
      <c r="E450" s="1270"/>
      <c r="F450" s="286" t="str">
        <f>IF(D450="","",INDEX(CNTR_List_ExistProdProc,MATCH(D450,CNTR_List_ExistProdProcNames,0)))</f>
        <v/>
      </c>
      <c r="G450" s="259">
        <v>1</v>
      </c>
      <c r="H450" s="287" t="s">
        <v>1329</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x14ac:dyDescent="0.25">
      <c r="C451" s="262">
        <v>1</v>
      </c>
      <c r="D451" s="1242" t="str">
        <f>IF(D447="","",IF(COUNTIF(INDEX(CNTR_IOSupplyChain,MATCH(D447,CNTR_IOProcAndPrec,0),),C451)=0,"",INDEX(CNTR_IOProcAndPrec,MATCH(C451,INDEX(CNTR_IOSupplyChain,MATCH(D447,CNTR_IOProcAndPrec,0),),0))))</f>
        <v/>
      </c>
      <c r="E451" s="1243"/>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x14ac:dyDescent="0.25">
      <c r="C452" s="262">
        <v>2</v>
      </c>
      <c r="D452" s="1244" t="str">
        <f>IF(D447="","",IF(COUNTIF(INDEX(CNTR_IOSupplyChain,MATCH(D447,CNTR_IOProcAndPrec,0),),C452)=0,"",INDEX(CNTR_IOProcAndPrec,MATCH(C452,INDEX(CNTR_IOSupplyChain,MATCH(D447,CNTR_IOProcAndPrec,0),),0))))</f>
        <v/>
      </c>
      <c r="E452" s="1245"/>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x14ac:dyDescent="0.25">
      <c r="C453" s="262">
        <v>3</v>
      </c>
      <c r="D453" s="1244" t="str">
        <f>IF(D447="","",IF(COUNTIF(INDEX(CNTR_IOSupplyChain,MATCH(D447,CNTR_IOProcAndPrec,0),),C453)=0,"",INDEX(CNTR_IOProcAndPrec,MATCH(C453,INDEX(CNTR_IOSupplyChain,MATCH(D447,CNTR_IOProcAndPrec,0),),0))))</f>
        <v/>
      </c>
      <c r="E453" s="1245"/>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x14ac:dyDescent="0.25">
      <c r="C454" s="262">
        <v>4</v>
      </c>
      <c r="D454" s="1244" t="str">
        <f>IF(D447="","",IF(COUNTIF(INDEX(CNTR_IOSupplyChain,MATCH(D447,CNTR_IOProcAndPrec,0),),C454)=0,"",INDEX(CNTR_IOProcAndPrec,MATCH(C454,INDEX(CNTR_IOSupplyChain,MATCH(D447,CNTR_IOProcAndPrec,0),),0))))</f>
        <v/>
      </c>
      <c r="E454" s="1245"/>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x14ac:dyDescent="0.25">
      <c r="C455" s="262">
        <v>5</v>
      </c>
      <c r="D455" s="1244" t="str">
        <f>IF(D447="","",IF(COUNTIF(INDEX(CNTR_IOSupplyChain,MATCH(D447,CNTR_IOProcAndPrec,0),),C455)=0,"",INDEX(CNTR_IOProcAndPrec,MATCH(C455,INDEX(CNTR_IOSupplyChain,MATCH(D447,CNTR_IOProcAndPrec,0),),0))))</f>
        <v/>
      </c>
      <c r="E455" s="1245"/>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x14ac:dyDescent="0.25">
      <c r="C456" s="262">
        <v>6</v>
      </c>
      <c r="D456" s="1244" t="str">
        <f>IF(D447="","",IF(COUNTIF(INDEX(CNTR_IOSupplyChain,MATCH(D447,CNTR_IOProcAndPrec,0),),C456)=0,"",INDEX(CNTR_IOProcAndPrec,MATCH(C456,INDEX(CNTR_IOSupplyChain,MATCH(D447,CNTR_IOProcAndPrec,0),),0))))</f>
        <v/>
      </c>
      <c r="E456" s="1245"/>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x14ac:dyDescent="0.25">
      <c r="C457" s="262">
        <v>7</v>
      </c>
      <c r="D457" s="1244" t="str">
        <f>IF(D447="","",IF(COUNTIF(INDEX(CNTR_IOSupplyChain,MATCH(D447,CNTR_IOProcAndPrec,0),),C457)=0,"",INDEX(CNTR_IOProcAndPrec,MATCH(C457,INDEX(CNTR_IOSupplyChain,MATCH(D447,CNTR_IOProcAndPrec,0),),0))))</f>
        <v/>
      </c>
      <c r="E457" s="1245"/>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x14ac:dyDescent="0.25">
      <c r="C458" s="262">
        <v>8</v>
      </c>
      <c r="D458" s="1244" t="str">
        <f>IF(D447="","",IF(COUNTIF(INDEX(CNTR_IOSupplyChain,MATCH(D447,CNTR_IOProcAndPrec,0),),C458)=0,"",INDEX(CNTR_IOProcAndPrec,MATCH(C458,INDEX(CNTR_IOSupplyChain,MATCH(D447,CNTR_IOProcAndPrec,0),),0))))</f>
        <v/>
      </c>
      <c r="E458" s="1245"/>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x14ac:dyDescent="0.25">
      <c r="C459" s="262">
        <v>9</v>
      </c>
      <c r="D459" s="1244" t="str">
        <f>IF(D447="","",IF(COUNTIF(INDEX(CNTR_IOSupplyChain,MATCH(D447,CNTR_IOProcAndPrec,0),),C459)=0,"",INDEX(CNTR_IOProcAndPrec,MATCH(C459,INDEX(CNTR_IOSupplyChain,MATCH(D447,CNTR_IOProcAndPrec,0),),0))))</f>
        <v/>
      </c>
      <c r="E459" s="1245"/>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x14ac:dyDescent="0.25">
      <c r="C460" s="262">
        <v>10</v>
      </c>
      <c r="D460" s="1244" t="str">
        <f>IF(D447="","",IF(COUNTIF(INDEX(CNTR_IOSupplyChain,MATCH(D447,CNTR_IOProcAndPrec,0),),C460)=0,"",INDEX(CNTR_IOProcAndPrec,MATCH(C460,INDEX(CNTR_IOSupplyChain,MATCH(D447,CNTR_IOProcAndPrec,0),),0))))</f>
        <v/>
      </c>
      <c r="E460" s="1245"/>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x14ac:dyDescent="0.25">
      <c r="C461" s="262">
        <v>11</v>
      </c>
      <c r="D461" s="1244" t="str">
        <f>IF(D447="","",IF(COUNTIF(INDEX(CNTR_IOSupplyChain,MATCH(D447,CNTR_IOProcAndPrec,0),),C461)=0,"",INDEX(CNTR_IOProcAndPrec,MATCH(C461,INDEX(CNTR_IOSupplyChain,MATCH(D447,CNTR_IOProcAndPrec,0),),0))))</f>
        <v/>
      </c>
      <c r="E461" s="1245"/>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x14ac:dyDescent="0.25">
      <c r="C462" s="262">
        <v>12</v>
      </c>
      <c r="D462" s="1244" t="str">
        <f>IF(D447="","",IF(COUNTIF(INDEX(CNTR_IOSupplyChain,MATCH(D447,CNTR_IOProcAndPrec,0),),C462)=0,"",INDEX(CNTR_IOProcAndPrec,MATCH(C462,INDEX(CNTR_IOSupplyChain,MATCH(D447,CNTR_IOProcAndPrec,0),),0))))</f>
        <v/>
      </c>
      <c r="E462" s="1245"/>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x14ac:dyDescent="0.25">
      <c r="C463" s="262">
        <v>13</v>
      </c>
      <c r="D463" s="1244" t="str">
        <f>IF(D447="","",IF(COUNTIF(INDEX(CNTR_IOSupplyChain,MATCH(D447,CNTR_IOProcAndPrec,0),),C463)=0,"",INDEX(CNTR_IOProcAndPrec,MATCH(C463,INDEX(CNTR_IOSupplyChain,MATCH(D447,CNTR_IOProcAndPrec,0),),0))))</f>
        <v/>
      </c>
      <c r="E463" s="1245"/>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x14ac:dyDescent="0.25">
      <c r="C464" s="262">
        <v>14</v>
      </c>
      <c r="D464" s="1244" t="str">
        <f>IF(D447="","",IF(COUNTIF(INDEX(CNTR_IOSupplyChain,MATCH(D447,CNTR_IOProcAndPrec,0),),C464)=0,"",INDEX(CNTR_IOProcAndPrec,MATCH(C464,INDEX(CNTR_IOSupplyChain,MATCH(D447,CNTR_IOProcAndPrec,0),),0))))</f>
        <v/>
      </c>
      <c r="E464" s="1245"/>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x14ac:dyDescent="0.25">
      <c r="C465" s="262">
        <v>15</v>
      </c>
      <c r="D465" s="1244" t="str">
        <f>IF(D447="","",IF(COUNTIF(INDEX(CNTR_IOSupplyChain,MATCH(D447,CNTR_IOProcAndPrec,0),),C465)=0,"",INDEX(CNTR_IOProcAndPrec,MATCH(C465,INDEX(CNTR_IOSupplyChain,MATCH(D447,CNTR_IOProcAndPrec,0),),0))))</f>
        <v/>
      </c>
      <c r="E465" s="1245"/>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x14ac:dyDescent="0.25">
      <c r="C466" s="262">
        <v>16</v>
      </c>
      <c r="D466" s="1244" t="str">
        <f>IF(D447="","",IF(COUNTIF(INDEX(CNTR_IOSupplyChain,MATCH(D447,CNTR_IOProcAndPrec,0),),C466)=0,"",INDEX(CNTR_IOProcAndPrec,MATCH(C466,INDEX(CNTR_IOSupplyChain,MATCH(D447,CNTR_IOProcAndPrec,0),),0))))</f>
        <v/>
      </c>
      <c r="E466" s="1245"/>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x14ac:dyDescent="0.25">
      <c r="C467" s="262">
        <v>17</v>
      </c>
      <c r="D467" s="1244" t="str">
        <f>IF(D447="","",IF(COUNTIF(INDEX(CNTR_IOSupplyChain,MATCH(D447,CNTR_IOProcAndPrec,0),),C467)=0,"",INDEX(CNTR_IOProcAndPrec,MATCH(C467,INDEX(CNTR_IOSupplyChain,MATCH(D447,CNTR_IOProcAndPrec,0),),0))))</f>
        <v/>
      </c>
      <c r="E467" s="1245"/>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x14ac:dyDescent="0.25">
      <c r="C468" s="262">
        <v>18</v>
      </c>
      <c r="D468" s="1244" t="str">
        <f>IF(D447="","",IF(COUNTIF(INDEX(CNTR_IOSupplyChain,MATCH(D447,CNTR_IOProcAndPrec,0),),C468)=0,"",INDEX(CNTR_IOProcAndPrec,MATCH(C468,INDEX(CNTR_IOSupplyChain,MATCH(D447,CNTR_IOProcAndPrec,0),),0))))</f>
        <v/>
      </c>
      <c r="E468" s="1245"/>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x14ac:dyDescent="0.25">
      <c r="C469" s="262">
        <v>19</v>
      </c>
      <c r="D469" s="1244" t="str">
        <f>IF(D447="","",IF(COUNTIF(INDEX(CNTR_IOSupplyChain,MATCH(D447,CNTR_IOProcAndPrec,0),),C469)=0,"",INDEX(CNTR_IOProcAndPrec,MATCH(C469,INDEX(CNTR_IOSupplyChain,MATCH(D447,CNTR_IOProcAndPrec,0),),0))))</f>
        <v/>
      </c>
      <c r="E469" s="1245"/>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x14ac:dyDescent="0.25">
      <c r="C470" s="262">
        <v>20</v>
      </c>
      <c r="D470" s="1244" t="str">
        <f>IF(D447="","",IF(COUNTIF(INDEX(CNTR_IOSupplyChain,MATCH(D447,CNTR_IOProcAndPrec,0),),C470)=0,"",INDEX(CNTR_IOProcAndPrec,MATCH(C470,INDEX(CNTR_IOSupplyChain,MATCH(D447,CNTR_IOProcAndPrec,0),),0))))</f>
        <v/>
      </c>
      <c r="E470" s="1245"/>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x14ac:dyDescent="0.25">
      <c r="C471" s="262">
        <v>21</v>
      </c>
      <c r="D471" s="1244" t="str">
        <f>IF(D447="","",IF(COUNTIF(INDEX(CNTR_IOSupplyChain,MATCH(D447,CNTR_IOProcAndPrec,0),),C471)=0,"",INDEX(CNTR_IOProcAndPrec,MATCH(C471,INDEX(CNTR_IOSupplyChain,MATCH(D447,CNTR_IOProcAndPrec,0),),0))))</f>
        <v/>
      </c>
      <c r="E471" s="1245"/>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x14ac:dyDescent="0.25">
      <c r="C472" s="262">
        <v>22</v>
      </c>
      <c r="D472" s="1244" t="str">
        <f>IF(D447="","",IF(COUNTIF(INDEX(CNTR_IOSupplyChain,MATCH(D447,CNTR_IOProcAndPrec,0),),C472)=0,"",INDEX(CNTR_IOProcAndPrec,MATCH(C472,INDEX(CNTR_IOSupplyChain,MATCH(D447,CNTR_IOProcAndPrec,0),),0))))</f>
        <v/>
      </c>
      <c r="E472" s="1245"/>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x14ac:dyDescent="0.25">
      <c r="C473" s="262">
        <v>23</v>
      </c>
      <c r="D473" s="1244" t="str">
        <f>IF(D447="","",IF(COUNTIF(INDEX(CNTR_IOSupplyChain,MATCH(D447,CNTR_IOProcAndPrec,0),),C473)=0,"",INDEX(CNTR_IOProcAndPrec,MATCH(C473,INDEX(CNTR_IOSupplyChain,MATCH(D447,CNTR_IOProcAndPrec,0),),0))))</f>
        <v/>
      </c>
      <c r="E473" s="1245"/>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x14ac:dyDescent="0.25">
      <c r="C474" s="262">
        <v>24</v>
      </c>
      <c r="D474" s="1244" t="str">
        <f>IF(D447="","",IF(COUNTIF(INDEX(CNTR_IOSupplyChain,MATCH(D447,CNTR_IOProcAndPrec,0),),C474)=0,"",INDEX(CNTR_IOProcAndPrec,MATCH(C474,INDEX(CNTR_IOSupplyChain,MATCH(D447,CNTR_IOProcAndPrec,0),),0))))</f>
        <v/>
      </c>
      <c r="E474" s="1245"/>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x14ac:dyDescent="0.25">
      <c r="C475" s="262">
        <v>25</v>
      </c>
      <c r="D475" s="1244" t="str">
        <f>IF(D447="","",IF(COUNTIF(INDEX(CNTR_IOSupplyChain,MATCH(D447,CNTR_IOProcAndPrec,0),),C475)=0,"",INDEX(CNTR_IOProcAndPrec,MATCH(C475,INDEX(CNTR_IOSupplyChain,MATCH(D447,CNTR_IOProcAndPrec,0),),0))))</f>
        <v/>
      </c>
      <c r="E475" s="1245"/>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x14ac:dyDescent="0.25">
      <c r="C476" s="262">
        <v>26</v>
      </c>
      <c r="D476" s="1244" t="str">
        <f>IF(D447="","",IF(COUNTIF(INDEX(CNTR_IOSupplyChain,MATCH(D447,CNTR_IOProcAndPrec,0),),C476)=0,"",INDEX(CNTR_IOProcAndPrec,MATCH(C476,INDEX(CNTR_IOSupplyChain,MATCH(D447,CNTR_IOProcAndPrec,0),),0))))</f>
        <v/>
      </c>
      <c r="E476" s="1245"/>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x14ac:dyDescent="0.25">
      <c r="C477" s="262">
        <v>27</v>
      </c>
      <c r="D477" s="1244" t="str">
        <f>IF(D447="","",IF(COUNTIF(INDEX(CNTR_IOSupplyChain,MATCH(D447,CNTR_IOProcAndPrec,0),),C477)=0,"",INDEX(CNTR_IOProcAndPrec,MATCH(C477,INDEX(CNTR_IOSupplyChain,MATCH(D447,CNTR_IOProcAndPrec,0),),0))))</f>
        <v/>
      </c>
      <c r="E477" s="1245"/>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x14ac:dyDescent="0.25">
      <c r="C478" s="262">
        <v>28</v>
      </c>
      <c r="D478" s="1244" t="str">
        <f>IF(D447="","",IF(COUNTIF(INDEX(CNTR_IOSupplyChain,MATCH(D447,CNTR_IOProcAndPrec,0),),C478)=0,"",INDEX(CNTR_IOProcAndPrec,MATCH(C478,INDEX(CNTR_IOSupplyChain,MATCH(D447,CNTR_IOProcAndPrec,0),),0))))</f>
        <v/>
      </c>
      <c r="E478" s="1245"/>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x14ac:dyDescent="0.25">
      <c r="C479" s="262">
        <v>29</v>
      </c>
      <c r="D479" s="1244" t="str">
        <f>IF(D447="","",IF(COUNTIF(INDEX(CNTR_IOSupplyChain,MATCH(D447,CNTR_IOProcAndPrec,0),),C479)=0,"",INDEX(CNTR_IOProcAndPrec,MATCH(C479,INDEX(CNTR_IOSupplyChain,MATCH(D447,CNTR_IOProcAndPrec,0),),0))))</f>
        <v/>
      </c>
      <c r="E479" s="1245"/>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x14ac:dyDescent="0.3">
      <c r="C480" s="262">
        <v>30</v>
      </c>
      <c r="D480" s="1277" t="str">
        <f>IF(D447="","",IF(COUNTIF(INDEX(CNTR_IOSupplyChain,MATCH(D447,CNTR_IOProcAndPrec,0),),C480)=0,"",INDEX(CNTR_IOProcAndPrec,MATCH(C480,INDEX(CNTR_IOSupplyChain,MATCH(D447,CNTR_IOProcAndPrec,0),),0))))</f>
        <v/>
      </c>
      <c r="E480" s="1278"/>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x14ac:dyDescent="0.3">
      <c r="I481" s="799"/>
      <c r="J481" s="799"/>
      <c r="K481" s="799"/>
      <c r="P481" s="799"/>
    </row>
    <row r="482" spans="1:41" ht="12.75" customHeight="1" thickBot="1" x14ac:dyDescent="0.3">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x14ac:dyDescent="0.25">
      <c r="A483" s="251"/>
      <c r="C483" s="1239">
        <f>C447+1</f>
        <v>10</v>
      </c>
      <c r="D483" s="1246" t="str">
        <f>IF(INDEX(CNTR_List_ExistProdProcNames,C483)=CONST_NA,"",INDEX(CNTR_List_ExistProdProcNames,C483))</f>
        <v/>
      </c>
      <c r="E483" s="1247"/>
      <c r="F483" s="1250" t="str">
        <f>Translations!$B$107</f>
        <v>Aggregated goods category</v>
      </c>
      <c r="G483" s="253" t="str">
        <f>Translations!$B$584</f>
        <v>Mass share</v>
      </c>
      <c r="H483" s="1252"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52" t="str">
        <f>Translations!$B$594</f>
        <v>Source of electricity EF</v>
      </c>
      <c r="P483" s="801" t="str">
        <f>Translations!$B$597</f>
        <v>Specific electricity</v>
      </c>
      <c r="Q483" s="1237" t="s">
        <v>1295</v>
      </c>
      <c r="R483" s="1271" t="str">
        <f>Translations!$B$351</f>
        <v>CP due (per t or MWh)</v>
      </c>
      <c r="S483" s="1273"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x14ac:dyDescent="0.3">
      <c r="A484" s="251"/>
      <c r="C484" s="1240"/>
      <c r="D484" s="1248"/>
      <c r="E484" s="1249"/>
      <c r="F484" s="1251"/>
      <c r="G484" s="254" t="str">
        <f>IF($F485="",CONST_t,INDEX(CONST_LIST_GoodsUnit,MATCH($F485,CONST_LIST_Goods,0))) &amp;"/"&amp; IF($F485="",CONST_t,INDEX(CONST_LIST_GoodsUnit,MATCH($F485,CONST_LIST_Goods,0)))</f>
        <v>t/t</v>
      </c>
      <c r="H484" s="1253"/>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53"/>
      <c r="P484" s="802" t="str">
        <f>CONST_MWh &amp; "/" &amp; IF($F485="",CONST_t,INDEX(CONST_LIST_GoodsUnit,MATCH($F485,CONST_LIST_Goods,0)))</f>
        <v>MWh/t</v>
      </c>
      <c r="Q484" s="1238"/>
      <c r="R484" s="1272"/>
      <c r="S484" s="1274"/>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x14ac:dyDescent="0.3">
      <c r="C485" s="1241"/>
      <c r="D485" s="1254" t="str">
        <f>Translations!$B$600</f>
        <v>Total production process</v>
      </c>
      <c r="E485" s="1255"/>
      <c r="F485" s="256" t="str">
        <f>IF(D486="","",INDEX(CNTR_List_ExistProdProc,MATCH(D486,CNTR_List_ExistProdProcNames,0)))</f>
        <v/>
      </c>
      <c r="G485" s="257" t="s">
        <v>1329</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1329</v>
      </c>
      <c r="P485" s="795" t="str">
        <f>IF(COUNT(P486:P516)&gt;0,SUM(P486:P516),"")</f>
        <v/>
      </c>
      <c r="Q485" s="810" t="s">
        <v>1329</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1355</v>
      </c>
    </row>
    <row r="486" spans="1:41" ht="12.75" customHeight="1" thickBot="1" x14ac:dyDescent="0.3">
      <c r="D486" s="1269" t="str">
        <f>D483</f>
        <v/>
      </c>
      <c r="E486" s="1270"/>
      <c r="F486" s="286" t="str">
        <f>IF(D486="","",INDEX(CNTR_List_ExistProdProc,MATCH(D486,CNTR_List_ExistProdProcNames,0)))</f>
        <v/>
      </c>
      <c r="G486" s="259">
        <v>1</v>
      </c>
      <c r="H486" s="287" t="s">
        <v>1329</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x14ac:dyDescent="0.25">
      <c r="C487" s="262">
        <v>1</v>
      </c>
      <c r="D487" s="1242" t="str">
        <f>IF(D483="","",IF(COUNTIF(INDEX(CNTR_IOSupplyChain,MATCH(D483,CNTR_IOProcAndPrec,0),),C487)=0,"",INDEX(CNTR_IOProcAndPrec,MATCH(C487,INDEX(CNTR_IOSupplyChain,MATCH(D483,CNTR_IOProcAndPrec,0),),0))))</f>
        <v/>
      </c>
      <c r="E487" s="1243"/>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x14ac:dyDescent="0.25">
      <c r="C488" s="262">
        <v>2</v>
      </c>
      <c r="D488" s="1244" t="str">
        <f>IF(D483="","",IF(COUNTIF(INDEX(CNTR_IOSupplyChain,MATCH(D483,CNTR_IOProcAndPrec,0),),C488)=0,"",INDEX(CNTR_IOProcAndPrec,MATCH(C488,INDEX(CNTR_IOSupplyChain,MATCH(D483,CNTR_IOProcAndPrec,0),),0))))</f>
        <v/>
      </c>
      <c r="E488" s="1245"/>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x14ac:dyDescent="0.25">
      <c r="C489" s="262">
        <v>3</v>
      </c>
      <c r="D489" s="1244" t="str">
        <f>IF(D483="","",IF(COUNTIF(INDEX(CNTR_IOSupplyChain,MATCH(D483,CNTR_IOProcAndPrec,0),),C489)=0,"",INDEX(CNTR_IOProcAndPrec,MATCH(C489,INDEX(CNTR_IOSupplyChain,MATCH(D483,CNTR_IOProcAndPrec,0),),0))))</f>
        <v/>
      </c>
      <c r="E489" s="1245"/>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x14ac:dyDescent="0.25">
      <c r="C490" s="262">
        <v>4</v>
      </c>
      <c r="D490" s="1244" t="str">
        <f>IF(D483="","",IF(COUNTIF(INDEX(CNTR_IOSupplyChain,MATCH(D483,CNTR_IOProcAndPrec,0),),C490)=0,"",INDEX(CNTR_IOProcAndPrec,MATCH(C490,INDEX(CNTR_IOSupplyChain,MATCH(D483,CNTR_IOProcAndPrec,0),),0))))</f>
        <v/>
      </c>
      <c r="E490" s="1245"/>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x14ac:dyDescent="0.25">
      <c r="C491" s="262">
        <v>5</v>
      </c>
      <c r="D491" s="1244" t="str">
        <f>IF(D483="","",IF(COUNTIF(INDEX(CNTR_IOSupplyChain,MATCH(D483,CNTR_IOProcAndPrec,0),),C491)=0,"",INDEX(CNTR_IOProcAndPrec,MATCH(C491,INDEX(CNTR_IOSupplyChain,MATCH(D483,CNTR_IOProcAndPrec,0),),0))))</f>
        <v/>
      </c>
      <c r="E491" s="1245"/>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x14ac:dyDescent="0.25">
      <c r="C492" s="262">
        <v>6</v>
      </c>
      <c r="D492" s="1244" t="str">
        <f>IF(D483="","",IF(COUNTIF(INDEX(CNTR_IOSupplyChain,MATCH(D483,CNTR_IOProcAndPrec,0),),C492)=0,"",INDEX(CNTR_IOProcAndPrec,MATCH(C492,INDEX(CNTR_IOSupplyChain,MATCH(D483,CNTR_IOProcAndPrec,0),),0))))</f>
        <v/>
      </c>
      <c r="E492" s="1245"/>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x14ac:dyDescent="0.25">
      <c r="C493" s="262">
        <v>7</v>
      </c>
      <c r="D493" s="1244" t="str">
        <f>IF(D483="","",IF(COUNTIF(INDEX(CNTR_IOSupplyChain,MATCH(D483,CNTR_IOProcAndPrec,0),),C493)=0,"",INDEX(CNTR_IOProcAndPrec,MATCH(C493,INDEX(CNTR_IOSupplyChain,MATCH(D483,CNTR_IOProcAndPrec,0),),0))))</f>
        <v/>
      </c>
      <c r="E493" s="1245"/>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x14ac:dyDescent="0.25">
      <c r="C494" s="262">
        <v>8</v>
      </c>
      <c r="D494" s="1244" t="str">
        <f>IF(D483="","",IF(COUNTIF(INDEX(CNTR_IOSupplyChain,MATCH(D483,CNTR_IOProcAndPrec,0),),C494)=0,"",INDEX(CNTR_IOProcAndPrec,MATCH(C494,INDEX(CNTR_IOSupplyChain,MATCH(D483,CNTR_IOProcAndPrec,0),),0))))</f>
        <v/>
      </c>
      <c r="E494" s="1245"/>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x14ac:dyDescent="0.25">
      <c r="C495" s="262">
        <v>9</v>
      </c>
      <c r="D495" s="1244" t="str">
        <f>IF(D483="","",IF(COUNTIF(INDEX(CNTR_IOSupplyChain,MATCH(D483,CNTR_IOProcAndPrec,0),),C495)=0,"",INDEX(CNTR_IOProcAndPrec,MATCH(C495,INDEX(CNTR_IOSupplyChain,MATCH(D483,CNTR_IOProcAndPrec,0),),0))))</f>
        <v/>
      </c>
      <c r="E495" s="1245"/>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x14ac:dyDescent="0.25">
      <c r="C496" s="262">
        <v>10</v>
      </c>
      <c r="D496" s="1244" t="str">
        <f>IF(D483="","",IF(COUNTIF(INDEX(CNTR_IOSupplyChain,MATCH(D483,CNTR_IOProcAndPrec,0),),C496)=0,"",INDEX(CNTR_IOProcAndPrec,MATCH(C496,INDEX(CNTR_IOSupplyChain,MATCH(D483,CNTR_IOProcAndPrec,0),),0))))</f>
        <v/>
      </c>
      <c r="E496" s="1245"/>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x14ac:dyDescent="0.25">
      <c r="C497" s="262">
        <v>11</v>
      </c>
      <c r="D497" s="1244" t="str">
        <f>IF(D483="","",IF(COUNTIF(INDEX(CNTR_IOSupplyChain,MATCH(D483,CNTR_IOProcAndPrec,0),),C497)=0,"",INDEX(CNTR_IOProcAndPrec,MATCH(C497,INDEX(CNTR_IOSupplyChain,MATCH(D483,CNTR_IOProcAndPrec,0),),0))))</f>
        <v/>
      </c>
      <c r="E497" s="1245"/>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x14ac:dyDescent="0.25">
      <c r="C498" s="262">
        <v>12</v>
      </c>
      <c r="D498" s="1244" t="str">
        <f>IF(D483="","",IF(COUNTIF(INDEX(CNTR_IOSupplyChain,MATCH(D483,CNTR_IOProcAndPrec,0),),C498)=0,"",INDEX(CNTR_IOProcAndPrec,MATCH(C498,INDEX(CNTR_IOSupplyChain,MATCH(D483,CNTR_IOProcAndPrec,0),),0))))</f>
        <v/>
      </c>
      <c r="E498" s="1245"/>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x14ac:dyDescent="0.25">
      <c r="C499" s="262">
        <v>13</v>
      </c>
      <c r="D499" s="1244" t="str">
        <f>IF(D483="","",IF(COUNTIF(INDEX(CNTR_IOSupplyChain,MATCH(D483,CNTR_IOProcAndPrec,0),),C499)=0,"",INDEX(CNTR_IOProcAndPrec,MATCH(C499,INDEX(CNTR_IOSupplyChain,MATCH(D483,CNTR_IOProcAndPrec,0),),0))))</f>
        <v/>
      </c>
      <c r="E499" s="1245"/>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x14ac:dyDescent="0.25">
      <c r="C500" s="262">
        <v>14</v>
      </c>
      <c r="D500" s="1244" t="str">
        <f>IF(D483="","",IF(COUNTIF(INDEX(CNTR_IOSupplyChain,MATCH(D483,CNTR_IOProcAndPrec,0),),C500)=0,"",INDEX(CNTR_IOProcAndPrec,MATCH(C500,INDEX(CNTR_IOSupplyChain,MATCH(D483,CNTR_IOProcAndPrec,0),),0))))</f>
        <v/>
      </c>
      <c r="E500" s="1245"/>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x14ac:dyDescent="0.25">
      <c r="C501" s="262">
        <v>15</v>
      </c>
      <c r="D501" s="1244" t="str">
        <f>IF(D483="","",IF(COUNTIF(INDEX(CNTR_IOSupplyChain,MATCH(D483,CNTR_IOProcAndPrec,0),),C501)=0,"",INDEX(CNTR_IOProcAndPrec,MATCH(C501,INDEX(CNTR_IOSupplyChain,MATCH(D483,CNTR_IOProcAndPrec,0),),0))))</f>
        <v/>
      </c>
      <c r="E501" s="1245"/>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x14ac:dyDescent="0.25">
      <c r="C502" s="262">
        <v>16</v>
      </c>
      <c r="D502" s="1244" t="str">
        <f>IF(D483="","",IF(COUNTIF(INDEX(CNTR_IOSupplyChain,MATCH(D483,CNTR_IOProcAndPrec,0),),C502)=0,"",INDEX(CNTR_IOProcAndPrec,MATCH(C502,INDEX(CNTR_IOSupplyChain,MATCH(D483,CNTR_IOProcAndPrec,0),),0))))</f>
        <v/>
      </c>
      <c r="E502" s="1245"/>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x14ac:dyDescent="0.25">
      <c r="C503" s="262">
        <v>17</v>
      </c>
      <c r="D503" s="1244" t="str">
        <f>IF(D483="","",IF(COUNTIF(INDEX(CNTR_IOSupplyChain,MATCH(D483,CNTR_IOProcAndPrec,0),),C503)=0,"",INDEX(CNTR_IOProcAndPrec,MATCH(C503,INDEX(CNTR_IOSupplyChain,MATCH(D483,CNTR_IOProcAndPrec,0),),0))))</f>
        <v/>
      </c>
      <c r="E503" s="1245"/>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x14ac:dyDescent="0.25">
      <c r="C504" s="262">
        <v>18</v>
      </c>
      <c r="D504" s="1244" t="str">
        <f>IF(D483="","",IF(COUNTIF(INDEX(CNTR_IOSupplyChain,MATCH(D483,CNTR_IOProcAndPrec,0),),C504)=0,"",INDEX(CNTR_IOProcAndPrec,MATCH(C504,INDEX(CNTR_IOSupplyChain,MATCH(D483,CNTR_IOProcAndPrec,0),),0))))</f>
        <v/>
      </c>
      <c r="E504" s="1245"/>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x14ac:dyDescent="0.25">
      <c r="C505" s="262">
        <v>19</v>
      </c>
      <c r="D505" s="1244" t="str">
        <f>IF(D483="","",IF(COUNTIF(INDEX(CNTR_IOSupplyChain,MATCH(D483,CNTR_IOProcAndPrec,0),),C505)=0,"",INDEX(CNTR_IOProcAndPrec,MATCH(C505,INDEX(CNTR_IOSupplyChain,MATCH(D483,CNTR_IOProcAndPrec,0),),0))))</f>
        <v/>
      </c>
      <c r="E505" s="1245"/>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x14ac:dyDescent="0.25">
      <c r="C506" s="262">
        <v>20</v>
      </c>
      <c r="D506" s="1244" t="str">
        <f>IF(D483="","",IF(COUNTIF(INDEX(CNTR_IOSupplyChain,MATCH(D483,CNTR_IOProcAndPrec,0),),C506)=0,"",INDEX(CNTR_IOProcAndPrec,MATCH(C506,INDEX(CNTR_IOSupplyChain,MATCH(D483,CNTR_IOProcAndPrec,0),),0))))</f>
        <v/>
      </c>
      <c r="E506" s="1245"/>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x14ac:dyDescent="0.25">
      <c r="C507" s="262">
        <v>21</v>
      </c>
      <c r="D507" s="1244" t="str">
        <f>IF(D483="","",IF(COUNTIF(INDEX(CNTR_IOSupplyChain,MATCH(D483,CNTR_IOProcAndPrec,0),),C507)=0,"",INDEX(CNTR_IOProcAndPrec,MATCH(C507,INDEX(CNTR_IOSupplyChain,MATCH(D483,CNTR_IOProcAndPrec,0),),0))))</f>
        <v/>
      </c>
      <c r="E507" s="1245"/>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x14ac:dyDescent="0.25">
      <c r="C508" s="262">
        <v>22</v>
      </c>
      <c r="D508" s="1244" t="str">
        <f>IF(D483="","",IF(COUNTIF(INDEX(CNTR_IOSupplyChain,MATCH(D483,CNTR_IOProcAndPrec,0),),C508)=0,"",INDEX(CNTR_IOProcAndPrec,MATCH(C508,INDEX(CNTR_IOSupplyChain,MATCH(D483,CNTR_IOProcAndPrec,0),),0))))</f>
        <v/>
      </c>
      <c r="E508" s="1245"/>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x14ac:dyDescent="0.25">
      <c r="C509" s="262">
        <v>23</v>
      </c>
      <c r="D509" s="1244" t="str">
        <f>IF(D483="","",IF(COUNTIF(INDEX(CNTR_IOSupplyChain,MATCH(D483,CNTR_IOProcAndPrec,0),),C509)=0,"",INDEX(CNTR_IOProcAndPrec,MATCH(C509,INDEX(CNTR_IOSupplyChain,MATCH(D483,CNTR_IOProcAndPrec,0),),0))))</f>
        <v/>
      </c>
      <c r="E509" s="1245"/>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x14ac:dyDescent="0.25">
      <c r="C510" s="262">
        <v>24</v>
      </c>
      <c r="D510" s="1244" t="str">
        <f>IF(D483="","",IF(COUNTIF(INDEX(CNTR_IOSupplyChain,MATCH(D483,CNTR_IOProcAndPrec,0),),C510)=0,"",INDEX(CNTR_IOProcAndPrec,MATCH(C510,INDEX(CNTR_IOSupplyChain,MATCH(D483,CNTR_IOProcAndPrec,0),),0))))</f>
        <v/>
      </c>
      <c r="E510" s="1245"/>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x14ac:dyDescent="0.25">
      <c r="C511" s="262">
        <v>25</v>
      </c>
      <c r="D511" s="1244" t="str">
        <f>IF(D483="","",IF(COUNTIF(INDEX(CNTR_IOSupplyChain,MATCH(D483,CNTR_IOProcAndPrec,0),),C511)=0,"",INDEX(CNTR_IOProcAndPrec,MATCH(C511,INDEX(CNTR_IOSupplyChain,MATCH(D483,CNTR_IOProcAndPrec,0),),0))))</f>
        <v/>
      </c>
      <c r="E511" s="1245"/>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x14ac:dyDescent="0.25">
      <c r="C512" s="262">
        <v>26</v>
      </c>
      <c r="D512" s="1244" t="str">
        <f>IF(D483="","",IF(COUNTIF(INDEX(CNTR_IOSupplyChain,MATCH(D483,CNTR_IOProcAndPrec,0),),C512)=0,"",INDEX(CNTR_IOProcAndPrec,MATCH(C512,INDEX(CNTR_IOSupplyChain,MATCH(D483,CNTR_IOProcAndPrec,0),),0))))</f>
        <v/>
      </c>
      <c r="E512" s="1245"/>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x14ac:dyDescent="0.25">
      <c r="C513" s="262">
        <v>27</v>
      </c>
      <c r="D513" s="1244" t="str">
        <f>IF(D483="","",IF(COUNTIF(INDEX(CNTR_IOSupplyChain,MATCH(D483,CNTR_IOProcAndPrec,0),),C513)=0,"",INDEX(CNTR_IOProcAndPrec,MATCH(C513,INDEX(CNTR_IOSupplyChain,MATCH(D483,CNTR_IOProcAndPrec,0),),0))))</f>
        <v/>
      </c>
      <c r="E513" s="1245"/>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x14ac:dyDescent="0.25">
      <c r="C514" s="262">
        <v>28</v>
      </c>
      <c r="D514" s="1244" t="str">
        <f>IF(D483="","",IF(COUNTIF(INDEX(CNTR_IOSupplyChain,MATCH(D483,CNTR_IOProcAndPrec,0),),C514)=0,"",INDEX(CNTR_IOProcAndPrec,MATCH(C514,INDEX(CNTR_IOSupplyChain,MATCH(D483,CNTR_IOProcAndPrec,0),),0))))</f>
        <v/>
      </c>
      <c r="E514" s="1245"/>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x14ac:dyDescent="0.25">
      <c r="C515" s="262">
        <v>29</v>
      </c>
      <c r="D515" s="1244" t="str">
        <f>IF(D483="","",IF(COUNTIF(INDEX(CNTR_IOSupplyChain,MATCH(D483,CNTR_IOProcAndPrec,0),),C515)=0,"",INDEX(CNTR_IOProcAndPrec,MATCH(C515,INDEX(CNTR_IOSupplyChain,MATCH(D483,CNTR_IOProcAndPrec,0),),0))))</f>
        <v/>
      </c>
      <c r="E515" s="1245"/>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x14ac:dyDescent="0.3">
      <c r="C516" s="262">
        <v>30</v>
      </c>
      <c r="D516" s="1277" t="str">
        <f>IF(D483="","",IF(COUNTIF(INDEX(CNTR_IOSupplyChain,MATCH(D483,CNTR_IOProcAndPrec,0),),C516)=0,"",INDEX(CNTR_IOProcAndPrec,MATCH(C516,INDEX(CNTR_IOSupplyChain,MATCH(D483,CNTR_IOProcAndPrec,0),),0))))</f>
        <v/>
      </c>
      <c r="E516" s="1278"/>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x14ac:dyDescent="0.3"/>
    <row r="518" spans="1:33" ht="12.75" customHeight="1" x14ac:dyDescent="0.25">
      <c r="C518" s="150"/>
      <c r="D518" s="150"/>
      <c r="E518" s="150"/>
      <c r="F518" s="150"/>
      <c r="G518" s="150"/>
      <c r="H518" s="150"/>
      <c r="I518" s="150"/>
      <c r="J518" s="150"/>
      <c r="K518" s="150"/>
      <c r="L518" s="150"/>
      <c r="M518" s="150"/>
      <c r="N518" s="150"/>
      <c r="O518" s="150"/>
      <c r="P518" s="150"/>
      <c r="Q518" s="150"/>
      <c r="R518" s="150"/>
      <c r="S518" s="150"/>
    </row>
    <row r="519" spans="1:33" ht="12.75" customHeight="1" x14ac:dyDescent="0.25"/>
    <row r="520" spans="1:33" s="89" customFormat="1" ht="12.75" hidden="1" customHeight="1" x14ac:dyDescent="0.25">
      <c r="A520" s="89" t="s">
        <v>0</v>
      </c>
      <c r="T520" s="438"/>
      <c r="U520" s="89" t="s">
        <v>7</v>
      </c>
      <c r="Z520" s="104"/>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phoneticPr fontId="68" type="noConversion"/>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31"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4" width="12.7109375" style="244" customWidth="1"/>
    <col min="55" max="67" width="11.42578125" style="278" hidden="1" customWidth="1"/>
    <col min="68" max="16384" width="11.42578125" style="244"/>
  </cols>
  <sheetData>
    <row r="1" spans="1:67" s="278" customFormat="1" ht="12.75" hidden="1" thickBot="1" x14ac:dyDescent="0.3">
      <c r="A1" s="278" t="s">
        <v>0</v>
      </c>
      <c r="BC1" s="278" t="s">
        <v>0</v>
      </c>
      <c r="BD1" s="278" t="s">
        <v>0</v>
      </c>
      <c r="BE1" s="278" t="s">
        <v>0</v>
      </c>
      <c r="BF1" s="278" t="s">
        <v>0</v>
      </c>
      <c r="BG1" s="278" t="s">
        <v>0</v>
      </c>
      <c r="BH1" s="278" t="s">
        <v>0</v>
      </c>
      <c r="BI1" s="278" t="s">
        <v>0</v>
      </c>
      <c r="BJ1" s="278" t="s">
        <v>0</v>
      </c>
      <c r="BK1" s="278" t="s">
        <v>0</v>
      </c>
      <c r="BL1" s="278" t="s">
        <v>0</v>
      </c>
      <c r="BM1" s="278" t="s">
        <v>0</v>
      </c>
      <c r="BN1" s="278" t="s">
        <v>0</v>
      </c>
      <c r="BO1" s="278" t="s">
        <v>0</v>
      </c>
    </row>
    <row r="2" spans="1:67" ht="15.75" customHeight="1" thickBot="1" x14ac:dyDescent="0.3">
      <c r="B2" s="1073" t="str">
        <f>Translations!$B$465</f>
        <v>Summary of products</v>
      </c>
      <c r="C2" s="1074"/>
      <c r="D2" s="1075"/>
      <c r="E2" s="1082" t="str">
        <f>Translations!$B$11</f>
        <v>Navigation Area:</v>
      </c>
      <c r="F2" s="1083"/>
      <c r="G2" s="874" t="str">
        <f ca="1">HYPERLINK("#"&amp;ADDRESS(2,3,,,a_Contents!$U$2),a_Contents!$B$2)</f>
        <v>Table of contents</v>
      </c>
      <c r="H2" s="874" t="str">
        <f ca="1">HYPERLINK("#"&amp;ADDRESS(2,3,,,G_FurtherGuidance!$U$2),G_FurtherGuidance!$B$2)</f>
        <v>Further Guidance</v>
      </c>
      <c r="I2" s="1084" t="str">
        <f ca="1">HYPERLINK("#"&amp;ADDRESS(2,3,,,Summary_Processes!$Y$2),Summary_Processes!$Y$2)</f>
        <v>Summary_Processes</v>
      </c>
      <c r="J2" s="1085"/>
      <c r="K2" s="1084"/>
      <c r="L2" s="1085"/>
      <c r="M2" s="1084"/>
      <c r="N2" s="1085"/>
      <c r="O2" s="1084"/>
      <c r="P2" s="1085"/>
      <c r="Q2" s="1084"/>
      <c r="R2" s="1085"/>
      <c r="S2" s="1084"/>
      <c r="T2" s="1085"/>
      <c r="U2" s="1084"/>
      <c r="V2" s="1085"/>
      <c r="W2" s="1084"/>
      <c r="X2" s="1085"/>
      <c r="Y2" s="1084"/>
      <c r="Z2" s="1085"/>
      <c r="AA2" s="1084"/>
      <c r="AB2" s="1085"/>
      <c r="AC2" s="1084"/>
      <c r="AD2" s="1085"/>
      <c r="AE2" s="1084"/>
      <c r="AF2" s="1085"/>
      <c r="AG2" s="1084"/>
      <c r="AH2" s="1085"/>
      <c r="AI2" s="1084"/>
      <c r="AJ2" s="1085"/>
      <c r="AK2" s="1084"/>
      <c r="AL2" s="1085"/>
      <c r="AM2" s="1084"/>
      <c r="AN2" s="1085"/>
      <c r="AO2" s="1084"/>
      <c r="AP2" s="1085"/>
      <c r="AQ2" s="821"/>
      <c r="AR2" s="1084"/>
      <c r="AS2" s="1085"/>
      <c r="AT2" s="1084"/>
      <c r="AU2" s="1085"/>
      <c r="AV2" s="1084"/>
      <c r="AW2" s="1085"/>
      <c r="AX2" s="1084"/>
      <c r="AY2" s="1085"/>
      <c r="AZ2" s="1084"/>
      <c r="BA2" s="1085"/>
      <c r="BC2" s="89" t="s">
        <v>1</v>
      </c>
      <c r="BD2" s="93" t="str">
        <f>ADDRESS(ROW($B$2),COLUMN($B$2)) &amp; ":" &amp; ADDRESS(MATCH("PRINT",$BB:$BB,0),COLUMN($BB$2))</f>
        <v>$B$2:$BB$111</v>
      </c>
      <c r="BE2" s="89" t="s">
        <v>2</v>
      </c>
      <c r="BF2" s="102" t="str">
        <f ca="1">IF(ISERROR(CELL("filename",BG2)),"MSParameters",MID(CELL("filename",BG2),FIND("]",CELL("filename",BG2))+1,1024))</f>
        <v>Summary_Products</v>
      </c>
    </row>
    <row r="3" spans="1:67" ht="15" customHeight="1" x14ac:dyDescent="0.25">
      <c r="B3" s="1076"/>
      <c r="C3" s="1077"/>
      <c r="D3" s="1078"/>
      <c r="E3" s="1068"/>
      <c r="F3" s="1068"/>
      <c r="G3" s="872" t="str">
        <f>IFERROR(HYPERLINK("#"&amp;ADDRESS(ROW($C$1)+MATCH(U3,$C:$C,0)-1,COLUMN($C$1)),INDEX($U:$U,MATCH(U3,$C:$C,0))),"")</f>
        <v/>
      </c>
      <c r="H3" s="872" t="str">
        <f>IFERROR(HYPERLINK("#"&amp;ADDRESS(ROW($C$1)+MATCH(W3,$C:$C,0)-1,COLUMN($C$1)),INDEX($U:$U,MATCH(W3,$C:$C,0))),"")</f>
        <v/>
      </c>
      <c r="I3" s="1282" t="str">
        <f>IFERROR(HYPERLINK("#"&amp;ADDRESS(ROW($C$1)+MATCH(Z3,$C:$C,0)-1,COLUMN($C$1)),INDEX($U:$U,MATCH(Z3,$C:$C,0))),"")</f>
        <v/>
      </c>
      <c r="J3" s="1283"/>
      <c r="K3" s="1282" t="str">
        <f>IFERROR(HYPERLINK("#"&amp;ADDRESS(ROW($C$1)+MATCH(AB3,$C:$C,0)-1,COLUMN($C$1)),INDEX($U:$U,MATCH(AB3,$C:$C,0))),"")</f>
        <v/>
      </c>
      <c r="L3" s="1283"/>
      <c r="M3" s="1282" t="str">
        <f>IFERROR(HYPERLINK("#"&amp;ADDRESS(ROW($C$1)+MATCH(AD3,$C:$C,0)-1,COLUMN($C$1)),INDEX($U:$U,MATCH(AD3,$C:$C,0))),"")</f>
        <v/>
      </c>
      <c r="N3" s="1283"/>
      <c r="O3" s="1282" t="str">
        <f>IFERROR(HYPERLINK("#"&amp;ADDRESS(ROW($C$1)+MATCH(AF3,$C:$C,0)-1,COLUMN($C$1)),INDEX($U:$U,MATCH(AF3,$C:$C,0))),"")</f>
        <v/>
      </c>
      <c r="P3" s="1283"/>
      <c r="Q3" s="1282" t="str">
        <f>IFERROR(HYPERLINK("#"&amp;ADDRESS(ROW($C$1)+MATCH(AH3,$C:$C,0)-1,COLUMN($C$1)),INDEX($U:$U,MATCH(AH3,$C:$C,0))),"")</f>
        <v/>
      </c>
      <c r="R3" s="1283"/>
      <c r="S3" s="1282" t="str">
        <f>IFERROR(HYPERLINK("#"&amp;ADDRESS(ROW($C$1)+MATCH(AJ3,$C:$C,0)-1,COLUMN($C$1)),INDEX($U:$U,MATCH(AJ3,$C:$C,0))),"")</f>
        <v/>
      </c>
      <c r="T3" s="1283"/>
      <c r="U3" s="1282" t="str">
        <f>IFERROR(HYPERLINK("#"&amp;ADDRESS(ROW($C$1)+MATCH(AL3,$C:$C,0)-1,COLUMN($C$1)),INDEX($U:$U,MATCH(AL3,$C:$C,0))),"")</f>
        <v/>
      </c>
      <c r="V3" s="1283"/>
      <c r="W3" s="1282" t="str">
        <f>IFERROR(HYPERLINK("#"&amp;ADDRESS(ROW($C$1)+MATCH(AN3,$C:$C,0)-1,COLUMN($C$1)),INDEX($U:$U,MATCH(AN3,$C:$C,0))),"")</f>
        <v/>
      </c>
      <c r="X3" s="1283"/>
      <c r="Y3" s="1282" t="str">
        <f>IFERROR(HYPERLINK("#"&amp;ADDRESS(ROW($C$1)+MATCH(AP3,$C:$C,0)-1,COLUMN($C$1)),INDEX($U:$U,MATCH(AP3,$C:$C,0))),"")</f>
        <v/>
      </c>
      <c r="Z3" s="1283"/>
      <c r="AA3" s="1282" t="str">
        <f>IFERROR(HYPERLINK("#"&amp;ADDRESS(ROW($C$1)+MATCH(AS3,$C:$C,0)-1,COLUMN($C$1)),INDEX($U:$U,MATCH(AS3,$C:$C,0))),"")</f>
        <v/>
      </c>
      <c r="AB3" s="1283"/>
      <c r="AC3" s="1282" t="str">
        <f>IFERROR(HYPERLINK("#"&amp;ADDRESS(ROW($C$1)+MATCH(AU3,$C:$C,0)-1,COLUMN($C$1)),INDEX($U:$U,MATCH(AU3,$C:$C,0))),"")</f>
        <v/>
      </c>
      <c r="AD3" s="1283"/>
      <c r="AE3" s="1282" t="str">
        <f>IFERROR(HYPERLINK("#"&amp;ADDRESS(ROW($C$1)+MATCH(AW3,$C:$C,0)-1,COLUMN($C$1)),INDEX($U:$U,MATCH(AW3,$C:$C,0))),"")</f>
        <v/>
      </c>
      <c r="AF3" s="1283"/>
      <c r="AG3" s="1282" t="str">
        <f>IFERROR(HYPERLINK("#"&amp;ADDRESS(ROW($C$1)+MATCH(AY3,$C:$C,0)-1,COLUMN($C$1)),INDEX($U:$U,MATCH(AY3,$C:$C,0))),"")</f>
        <v/>
      </c>
      <c r="AH3" s="1283"/>
      <c r="AI3" s="1282" t="str">
        <f>IFERROR(HYPERLINK("#"&amp;ADDRESS(ROW($C$1)+MATCH(BA3,$C:$C,0)-1,COLUMN($C$1)),INDEX($U:$U,MATCH(BA3,$C:$C,0))),"")</f>
        <v/>
      </c>
      <c r="AJ3" s="1283"/>
      <c r="AK3" s="1282" t="str">
        <f>IFERROR(HYPERLINK("#"&amp;ADDRESS(ROW($C$1)+MATCH(BC3,$C:$C,0)-1,COLUMN($C$1)),INDEX($U:$U,MATCH(BC3,$C:$C,0))),"")</f>
        <v/>
      </c>
      <c r="AL3" s="1283"/>
      <c r="AM3" s="1282" t="str">
        <f>IFERROR(HYPERLINK("#"&amp;ADDRESS(ROW($C$1)+MATCH(BE3,$C:$C,0)-1,COLUMN($C$1)),INDEX($U:$U,MATCH(BE3,$C:$C,0))),"")</f>
        <v/>
      </c>
      <c r="AN3" s="1283"/>
      <c r="AO3" s="1282" t="str">
        <f>IFERROR(HYPERLINK("#"&amp;ADDRESS(ROW($C$1)+MATCH(BG3,$C:$C,0)-1,COLUMN($C$1)),INDEX($U:$U,MATCH(BG3,$C:$C,0))),"")</f>
        <v/>
      </c>
      <c r="AP3" s="1283"/>
      <c r="AQ3" s="822"/>
      <c r="AR3" s="1282" t="str">
        <f>IFERROR(HYPERLINK("#"&amp;ADDRESS(ROW($C$1)+MATCH(BI3,$C:$C,0)-1,COLUMN($C$1)),INDEX($U:$U,MATCH(BI3,$C:$C,0))),"")</f>
        <v/>
      </c>
      <c r="AS3" s="1283"/>
      <c r="AT3" s="1282" t="str">
        <f>IFERROR(HYPERLINK("#"&amp;ADDRESS(ROW($C$1)+MATCH(BK3,$C:$C,0)-1,COLUMN($C$1)),INDEX($U:$U,MATCH(BK3,$C:$C,0))),"")</f>
        <v/>
      </c>
      <c r="AU3" s="1283"/>
      <c r="AV3" s="1282" t="str">
        <f>IFERROR(HYPERLINK("#"&amp;ADDRESS(ROW($C$1)+MATCH(BM3,$C:$C,0)-1,COLUMN($C$1)),INDEX($U:$U,MATCH(BM3,$C:$C,0))),"")</f>
        <v/>
      </c>
      <c r="AW3" s="1283"/>
      <c r="AX3" s="1282" t="str">
        <f>IFERROR(HYPERLINK("#"&amp;ADDRESS(ROW($C$1)+MATCH(BO3,$C:$C,0)-1,COLUMN($C$1)),INDEX($U:$U,MATCH(BO3,$C:$C,0))),"")</f>
        <v/>
      </c>
      <c r="AY3" s="1283"/>
      <c r="AZ3" s="1282" t="str">
        <f>IFERROR(HYPERLINK("#"&amp;ADDRESS(ROW($C$1)+MATCH(BQ3,$C:$C,0)-1,COLUMN($C$1)),INDEX($U:$U,MATCH(BQ3,$C:$C,0))),"")</f>
        <v/>
      </c>
      <c r="BA3" s="1283"/>
    </row>
    <row r="4" spans="1:67" ht="15.75" customHeight="1" thickBot="1" x14ac:dyDescent="0.3">
      <c r="B4" s="1079"/>
      <c r="C4" s="1080"/>
      <c r="D4" s="1081"/>
      <c r="E4" s="1068"/>
      <c r="F4" s="1068"/>
      <c r="G4" s="872" t="str">
        <f>IFERROR(HYPERLINK("#"&amp;ADDRESS(ROW($C$1)+MATCH(U4,$C:$C,0)-1,COLUMN($C$1)),INDEX($U:$U,MATCH(U4,$C:$C,0))),"")</f>
        <v/>
      </c>
      <c r="H4" s="872" t="str">
        <f>IFERROR(HYPERLINK("#"&amp;ADDRESS(ROW($C$1)+MATCH(W4,$C:$C,0)-1,COLUMN($C$1)),INDEX($U:$U,MATCH(W4,$C:$C,0))),"")</f>
        <v/>
      </c>
      <c r="I4" s="1279" t="str">
        <f>IFERROR(HYPERLINK("#"&amp;ADDRESS(ROW($C$1)+MATCH(Z4,$C:$C,0)-1,COLUMN($C$1)),INDEX($U:$U,MATCH(Z4,$C:$C,0))),"")</f>
        <v/>
      </c>
      <c r="J4" s="1205"/>
      <c r="K4" s="1279" t="str">
        <f>IFERROR(HYPERLINK("#"&amp;ADDRESS(ROW($C$1)+MATCH(AB4,$C:$C,0)-1,COLUMN($C$1)),INDEX($U:$U,MATCH(AB4,$C:$C,0))),"")</f>
        <v/>
      </c>
      <c r="L4" s="1205"/>
      <c r="M4" s="1279" t="str">
        <f>IFERROR(HYPERLINK("#"&amp;ADDRESS(ROW($C$1)+MATCH(AD4,$C:$C,0)-1,COLUMN($C$1)),INDEX($U:$U,MATCH(AD4,$C:$C,0))),"")</f>
        <v/>
      </c>
      <c r="N4" s="1205"/>
      <c r="O4" s="1279" t="str">
        <f>IFERROR(HYPERLINK("#"&amp;ADDRESS(ROW($C$1)+MATCH(AF4,$C:$C,0)-1,COLUMN($C$1)),INDEX($U:$U,MATCH(AF4,$C:$C,0))),"")</f>
        <v/>
      </c>
      <c r="P4" s="1205"/>
      <c r="Q4" s="1279" t="str">
        <f>IFERROR(HYPERLINK("#"&amp;ADDRESS(ROW($C$1)+MATCH(AH4,$C:$C,0)-1,COLUMN($C$1)),INDEX($U:$U,MATCH(AH4,$C:$C,0))),"")</f>
        <v/>
      </c>
      <c r="R4" s="1205"/>
      <c r="S4" s="1279" t="str">
        <f>IFERROR(HYPERLINK("#"&amp;ADDRESS(ROW($C$1)+MATCH(AJ4,$C:$C,0)-1,COLUMN($C$1)),INDEX($U:$U,MATCH(AJ4,$C:$C,0))),"")</f>
        <v/>
      </c>
      <c r="T4" s="1205"/>
      <c r="U4" s="1279" t="str">
        <f>IFERROR(HYPERLINK("#"&amp;ADDRESS(ROW($C$1)+MATCH(AL4,$C:$C,0)-1,COLUMN($C$1)),INDEX($U:$U,MATCH(AL4,$C:$C,0))),"")</f>
        <v/>
      </c>
      <c r="V4" s="1205"/>
      <c r="W4" s="1279" t="str">
        <f>IFERROR(HYPERLINK("#"&amp;ADDRESS(ROW($C$1)+MATCH(AN4,$C:$C,0)-1,COLUMN($C$1)),INDEX($U:$U,MATCH(AN4,$C:$C,0))),"")</f>
        <v/>
      </c>
      <c r="X4" s="1205"/>
      <c r="Y4" s="1279" t="str">
        <f>IFERROR(HYPERLINK("#"&amp;ADDRESS(ROW($C$1)+MATCH(AP4,$C:$C,0)-1,COLUMN($C$1)),INDEX($U:$U,MATCH(AP4,$C:$C,0))),"")</f>
        <v/>
      </c>
      <c r="Z4" s="1205"/>
      <c r="AA4" s="1279" t="str">
        <f>IFERROR(HYPERLINK("#"&amp;ADDRESS(ROW($C$1)+MATCH(AS4,$C:$C,0)-1,COLUMN($C$1)),INDEX($U:$U,MATCH(AS4,$C:$C,0))),"")</f>
        <v/>
      </c>
      <c r="AB4" s="1205"/>
      <c r="AC4" s="1279" t="str">
        <f>IFERROR(HYPERLINK("#"&amp;ADDRESS(ROW($C$1)+MATCH(AU4,$C:$C,0)-1,COLUMN($C$1)),INDEX($U:$U,MATCH(AU4,$C:$C,0))),"")</f>
        <v/>
      </c>
      <c r="AD4" s="1205"/>
      <c r="AE4" s="1279" t="str">
        <f>IFERROR(HYPERLINK("#"&amp;ADDRESS(ROW($C$1)+MATCH(AW4,$C:$C,0)-1,COLUMN($C$1)),INDEX($U:$U,MATCH(AW4,$C:$C,0))),"")</f>
        <v/>
      </c>
      <c r="AF4" s="1205"/>
      <c r="AG4" s="1279" t="str">
        <f>IFERROR(HYPERLINK("#"&amp;ADDRESS(ROW($C$1)+MATCH(AY4,$C:$C,0)-1,COLUMN($C$1)),INDEX($U:$U,MATCH(AY4,$C:$C,0))),"")</f>
        <v/>
      </c>
      <c r="AH4" s="1205"/>
      <c r="AI4" s="1279" t="str">
        <f>IFERROR(HYPERLINK("#"&amp;ADDRESS(ROW($C$1)+MATCH(BA4,$C:$C,0)-1,COLUMN($C$1)),INDEX($U:$U,MATCH(BA4,$C:$C,0))),"")</f>
        <v/>
      </c>
      <c r="AJ4" s="1205"/>
      <c r="AK4" s="1279" t="str">
        <f>IFERROR(HYPERLINK("#"&amp;ADDRESS(ROW($C$1)+MATCH(BC4,$C:$C,0)-1,COLUMN($C$1)),INDEX($U:$U,MATCH(BC4,$C:$C,0))),"")</f>
        <v/>
      </c>
      <c r="AL4" s="1205"/>
      <c r="AM4" s="1279" t="str">
        <f>IFERROR(HYPERLINK("#"&amp;ADDRESS(ROW($C$1)+MATCH(BE4,$C:$C,0)-1,COLUMN($C$1)),INDEX($U:$U,MATCH(BE4,$C:$C,0))),"")</f>
        <v/>
      </c>
      <c r="AN4" s="1205"/>
      <c r="AO4" s="1279" t="str">
        <f>IFERROR(HYPERLINK("#"&amp;ADDRESS(ROW($C$1)+MATCH(BG4,$C:$C,0)-1,COLUMN($C$1)),INDEX($U:$U,MATCH(BG4,$C:$C,0))),"")</f>
        <v/>
      </c>
      <c r="AP4" s="1205"/>
      <c r="AQ4" s="823"/>
      <c r="AR4" s="1279" t="str">
        <f>IFERROR(HYPERLINK("#"&amp;ADDRESS(ROW($C$1)+MATCH(BI4,$C:$C,0)-1,COLUMN($C$1)),INDEX($U:$U,MATCH(BI4,$C:$C,0))),"")</f>
        <v/>
      </c>
      <c r="AS4" s="1205"/>
      <c r="AT4" s="1279" t="str">
        <f>IFERROR(HYPERLINK("#"&amp;ADDRESS(ROW($C$1)+MATCH(BK4,$C:$C,0)-1,COLUMN($C$1)),INDEX($U:$U,MATCH(BK4,$C:$C,0))),"")</f>
        <v/>
      </c>
      <c r="AU4" s="1205"/>
      <c r="AV4" s="1279" t="str">
        <f>IFERROR(HYPERLINK("#"&amp;ADDRESS(ROW($C$1)+MATCH(BM4,$C:$C,0)-1,COLUMN($C$1)),INDEX($U:$U,MATCH(BM4,$C:$C,0))),"")</f>
        <v/>
      </c>
      <c r="AW4" s="1205"/>
      <c r="AX4" s="1279" t="str">
        <f>IFERROR(HYPERLINK("#"&amp;ADDRESS(ROW($C$1)+MATCH(BO4,$C:$C,0)-1,COLUMN($C$1)),INDEX($U:$U,MATCH(BO4,$C:$C,0))),"")</f>
        <v/>
      </c>
      <c r="AY4" s="1205"/>
      <c r="AZ4" s="1279" t="str">
        <f>IFERROR(HYPERLINK("#"&amp;ADDRESS(ROW($C$1)+MATCH(BQ4,$C:$C,0)-1,COLUMN($C$1)),INDEX($U:$U,MATCH(BQ4,$C:$C,0))),"")</f>
        <v/>
      </c>
      <c r="BA4" s="1205"/>
    </row>
    <row r="5" spans="1:67" ht="5.0999999999999996" customHeight="1" x14ac:dyDescent="0.25">
      <c r="J5" s="375"/>
      <c r="N5" s="375"/>
      <c r="O5" s="375"/>
    </row>
    <row r="6" spans="1:67" ht="12.75" customHeight="1" x14ac:dyDescent="0.2">
      <c r="D6" s="1172" t="str">
        <f ca="1">HYPERLINK("#"&amp;ADDRESS(MATCH($BD6,G_FurtherGuidance!$S:$S,0),3,,,G_FurtherGuidance!$U$2),CONST_LinkToGuidanceSheet)</f>
        <v>Please click on this link for further guidance on how to complete this section.</v>
      </c>
      <c r="E6" s="1172"/>
      <c r="F6" s="1172"/>
      <c r="G6" s="117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1320</v>
      </c>
      <c r="BD6" s="105">
        <v>4</v>
      </c>
      <c r="BE6" s="279"/>
      <c r="BF6" s="279"/>
      <c r="BG6" s="279"/>
    </row>
    <row r="7" spans="1:67" ht="5.0999999999999996" customHeight="1" x14ac:dyDescent="0.25"/>
    <row r="8" spans="1:67" s="280" customFormat="1" ht="63.75" x14ac:dyDescent="0.2">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0" t="str">
        <f>Translations!$B$608</f>
        <v>Embedded emissions covered by the carbon price</v>
      </c>
      <c r="AO8" s="1281"/>
      <c r="AP8" s="1280" t="str">
        <f>Translations!$B$534</f>
        <v>Currency</v>
      </c>
      <c r="AQ8" s="1281"/>
      <c r="AR8" s="1280" t="str">
        <f>Translations!$B$1871</f>
        <v>Carbon price (CP)</v>
      </c>
      <c r="AS8" s="1281"/>
      <c r="AT8" s="899" t="str">
        <f>Translations!$B$537</f>
        <v>Form of rebate</v>
      </c>
      <c r="AU8" s="899" t="str">
        <f>Translations!$B$539</f>
        <v>Share of embedded emissions covered by the rebate</v>
      </c>
      <c r="AV8" s="1280" t="str">
        <f>Translations!$B$609</f>
        <v>Embedded emissions covered by rebate</v>
      </c>
      <c r="AW8" s="1281"/>
      <c r="AX8" s="1280" t="str">
        <f>Translations!$B$1872</f>
        <v>Amount of rebate</v>
      </c>
      <c r="AY8" s="1281"/>
      <c r="AZ8" s="1284" t="str">
        <f>Translations!$B$353</f>
        <v>Result: Effective CP due</v>
      </c>
      <c r="BA8" s="1284"/>
      <c r="BC8" s="279"/>
      <c r="BD8" s="279" t="s">
        <v>1356</v>
      </c>
      <c r="BE8" s="279"/>
      <c r="BF8" s="279"/>
      <c r="BG8" s="390" t="s">
        <v>1357</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x14ac:dyDescent="0.2">
      <c r="A9" s="279"/>
      <c r="C9" s="174" t="str">
        <f>Translations!$B$202</f>
        <v>Ex.</v>
      </c>
      <c r="D9" s="911" t="str">
        <f>Translations!$B$610</f>
        <v>Example process A</v>
      </c>
      <c r="E9" s="911" t="str">
        <f>Translations!$B$611</f>
        <v>Iron or steel products</v>
      </c>
      <c r="F9" s="912" t="s">
        <v>1358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1349</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x14ac:dyDescent="0.25">
      <c r="B10" s="281"/>
      <c r="C10" s="262">
        <v>1</v>
      </c>
      <c r="D10" s="482"/>
      <c r="E10" s="263" t="str">
        <f t="shared" ref="E10:E39" si="0">IF(D10="","",INDEX(CNTR_List_ExistProdProc,MATCH(D10,CNTR_List_ExistProdProcNames,0)))</f>
        <v/>
      </c>
      <c r="F10" s="925"/>
      <c r="G10" s="483" t="str">
        <f t="shared" ref="G10:G39" si="1">IF(F10="","",INDEX(CNCodes_ListNames,MATCH(F10,CNCodes_ListKey,0)))</f>
        <v/>
      </c>
      <c r="H10" s="482"/>
      <c r="I10" s="264" t="str">
        <f>IF(OR($D10="",$D10=CONST_NA),"",INDEX(InputOutput!$AK$71:$AK$80,MATCH($D10,InputOutput!$D$71:$D$80,0)))</f>
        <v/>
      </c>
      <c r="J10" s="264" t="str">
        <f>IF(OR($D10="",$D10=CONST_NA),"",INDEX(InputOutput!$AM$71:$AM$80,MATCH($D10,InputOutput!$D$71:$D$80,0)))</f>
        <v/>
      </c>
      <c r="K10" s="264" t="str">
        <f>IF(OR($D10="",$D10=CONST_NA),"",SUM(I10:J10))</f>
        <v/>
      </c>
      <c r="L10" s="264" t="str">
        <f>IF(E10="","",CONST_tCO2eq &amp; "/" &amp; INDEX(CONST_LIST_GoodsUnit,MATCH(E10,CONST_LIST_Goods,0)))</f>
        <v/>
      </c>
      <c r="M10" s="825" t="str">
        <f>IF($E10="","",INDEX(Summary_Processes!$AG$159:$AG$517,MATCH($D10,Summary_Processes!$D$159:$D$517,0)))</f>
        <v/>
      </c>
      <c r="N10" s="264" t="str">
        <f>IF(D10="","",INDEX(D_Processes!T:T,MATCH(CONST_CNTR_ElecEFMethod&amp;D10,D_Processes!R:R,0)))</f>
        <v/>
      </c>
      <c r="O10" s="264" t="str">
        <f>IF(OR($D10="",$D10=CONST_NA),"",INDEX(InputOutput!$AO$71:$AO$80,MATCH($D10,InputOutput!$D$71:$D$80,0)))</f>
        <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t="str">
        <f>IF($K10="","",$K10*AM10)</f>
        <v/>
      </c>
      <c r="AO10" s="477" t="str">
        <f t="shared" ref="AO10:AO41" si="2">L10</f>
        <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t="str">
        <f>IF($K10="","",$K10*AU10)</f>
        <v/>
      </c>
      <c r="AW10" s="477" t="str">
        <f>AS10</f>
        <v/>
      </c>
      <c r="AX10" s="480"/>
      <c r="AY10" s="476" t="str">
        <f>AS10</f>
        <v/>
      </c>
      <c r="AZ10" s="479" t="str">
        <f t="shared" ref="AZ10:AZ41" si="5">IF(K10="","",(AR10-AX10))</f>
        <v/>
      </c>
      <c r="BA10" s="475" t="str">
        <f>AS10</f>
        <v/>
      </c>
      <c r="BD10" s="282" t="str">
        <f t="shared" ref="BD10:BD41" si="6">IF(OR($D10="",$D10=CONST_NA),"",INDEX(CONST_CNTR_ListGoodsForCN,MATCH(E10,CONST_LIST_Goods,0)))</f>
        <v/>
      </c>
      <c r="BI10" s="282" t="str">
        <f t="shared" ref="BI10:BI41" si="7">IF(CNTR_HasEntriesA,IF(AND(D10&lt;&gt;"",COUNTIF(D214:BA214,TRUE)&gt;0),CONST_ErrorOrMissing,IF(AND(D10&lt;&gt;"",COUNTIF(D214:BA214,TRUE)=0),TRUE,CONST_NA)),CONST_NA)</f>
        <v>n.a.</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x14ac:dyDescent="0.25">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0</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x14ac:dyDescent="0.25">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0</v>
      </c>
      <c r="BI12" s="282" t="str">
        <f t="shared" si="7"/>
        <v>n.a.</v>
      </c>
      <c r="BK12" s="539" t="str">
        <f t="shared" si="8"/>
        <v/>
      </c>
      <c r="BL12" s="539" t="str">
        <f t="shared" si="9"/>
        <v/>
      </c>
      <c r="BM12" s="539" t="str">
        <f t="shared" si="19"/>
        <v/>
      </c>
      <c r="BN12" s="539" t="str">
        <f t="shared" si="10"/>
        <v/>
      </c>
    </row>
    <row r="13" spans="1:67" ht="12.75" customHeight="1" x14ac:dyDescent="0.25">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0</v>
      </c>
      <c r="BI13" s="282" t="str">
        <f t="shared" si="7"/>
        <v>n.a.</v>
      </c>
      <c r="BK13" s="539" t="str">
        <f t="shared" si="8"/>
        <v/>
      </c>
      <c r="BL13" s="539" t="str">
        <f t="shared" si="9"/>
        <v/>
      </c>
      <c r="BM13" s="539" t="str">
        <f t="shared" si="19"/>
        <v/>
      </c>
      <c r="BN13" s="539" t="str">
        <f t="shared" si="10"/>
        <v/>
      </c>
    </row>
    <row r="14" spans="1:67" ht="12.75" customHeight="1" x14ac:dyDescent="0.25">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0</v>
      </c>
      <c r="BI14" s="282" t="str">
        <f t="shared" si="7"/>
        <v>n.a.</v>
      </c>
      <c r="BK14" s="539" t="str">
        <f t="shared" si="8"/>
        <v/>
      </c>
      <c r="BL14" s="539" t="str">
        <f t="shared" si="9"/>
        <v/>
      </c>
      <c r="BM14" s="539" t="str">
        <f t="shared" si="19"/>
        <v/>
      </c>
      <c r="BN14" s="539" t="str">
        <f t="shared" si="10"/>
        <v/>
      </c>
    </row>
    <row r="15" spans="1:67" ht="12.75" customHeight="1" x14ac:dyDescent="0.25">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0</v>
      </c>
      <c r="BI15" s="282" t="str">
        <f t="shared" si="7"/>
        <v>n.a.</v>
      </c>
      <c r="BK15" s="539" t="str">
        <f t="shared" si="8"/>
        <v/>
      </c>
      <c r="BL15" s="539" t="str">
        <f t="shared" si="9"/>
        <v/>
      </c>
      <c r="BM15" s="539" t="str">
        <f t="shared" si="19"/>
        <v/>
      </c>
      <c r="BN15" s="539" t="str">
        <f t="shared" si="10"/>
        <v/>
      </c>
    </row>
    <row r="16" spans="1:67" ht="12.75" customHeight="1" x14ac:dyDescent="0.25">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0</v>
      </c>
      <c r="BI16" s="282" t="str">
        <f t="shared" si="7"/>
        <v>n.a.</v>
      </c>
      <c r="BK16" s="539" t="str">
        <f t="shared" si="8"/>
        <v/>
      </c>
      <c r="BL16" s="539" t="str">
        <f t="shared" si="9"/>
        <v/>
      </c>
      <c r="BM16" s="539" t="str">
        <f t="shared" si="19"/>
        <v/>
      </c>
      <c r="BN16" s="539" t="str">
        <f t="shared" si="10"/>
        <v/>
      </c>
    </row>
    <row r="17" spans="2:66" ht="12.75" customHeight="1" x14ac:dyDescent="0.25">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0</v>
      </c>
      <c r="BI17" s="282" t="str">
        <f t="shared" si="7"/>
        <v>n.a.</v>
      </c>
      <c r="BK17" s="539" t="str">
        <f t="shared" si="8"/>
        <v/>
      </c>
      <c r="BL17" s="539" t="str">
        <f t="shared" si="9"/>
        <v/>
      </c>
      <c r="BM17" s="539" t="str">
        <f t="shared" si="19"/>
        <v/>
      </c>
      <c r="BN17" s="539" t="str">
        <f t="shared" si="10"/>
        <v/>
      </c>
    </row>
    <row r="18" spans="2:66" ht="12.75" customHeight="1" x14ac:dyDescent="0.25">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0</v>
      </c>
      <c r="BI18" s="282" t="str">
        <f t="shared" si="7"/>
        <v>n.a.</v>
      </c>
      <c r="BK18" s="539" t="str">
        <f t="shared" si="8"/>
        <v/>
      </c>
      <c r="BL18" s="539" t="str">
        <f t="shared" si="9"/>
        <v/>
      </c>
      <c r="BM18" s="539" t="str">
        <f t="shared" si="19"/>
        <v/>
      </c>
      <c r="BN18" s="539" t="str">
        <f t="shared" si="10"/>
        <v/>
      </c>
    </row>
    <row r="19" spans="2:66" ht="12.75" customHeight="1" x14ac:dyDescent="0.25">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0</v>
      </c>
      <c r="BI19" s="282" t="str">
        <f t="shared" si="7"/>
        <v>n.a.</v>
      </c>
      <c r="BK19" s="539" t="str">
        <f t="shared" si="8"/>
        <v/>
      </c>
      <c r="BL19" s="539" t="str">
        <f t="shared" si="9"/>
        <v/>
      </c>
      <c r="BM19" s="539" t="str">
        <f t="shared" si="19"/>
        <v/>
      </c>
      <c r="BN19" s="539" t="str">
        <f t="shared" si="10"/>
        <v/>
      </c>
    </row>
    <row r="20" spans="2:66" ht="12.75" customHeight="1" x14ac:dyDescent="0.25">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0</v>
      </c>
      <c r="BI20" s="282" t="str">
        <f t="shared" si="7"/>
        <v>n.a.</v>
      </c>
      <c r="BK20" s="539" t="str">
        <f t="shared" si="8"/>
        <v/>
      </c>
      <c r="BL20" s="539" t="str">
        <f t="shared" si="9"/>
        <v/>
      </c>
      <c r="BM20" s="539" t="str">
        <f t="shared" si="19"/>
        <v/>
      </c>
      <c r="BN20" s="539" t="str">
        <f t="shared" si="10"/>
        <v/>
      </c>
    </row>
    <row r="21" spans="2:66" ht="12.75" customHeight="1" x14ac:dyDescent="0.25">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0</v>
      </c>
      <c r="BI21" s="282" t="str">
        <f t="shared" si="7"/>
        <v>n.a.</v>
      </c>
      <c r="BK21" s="539" t="str">
        <f t="shared" si="8"/>
        <v/>
      </c>
      <c r="BL21" s="539" t="str">
        <f t="shared" si="9"/>
        <v/>
      </c>
      <c r="BM21" s="539" t="str">
        <f t="shared" si="19"/>
        <v/>
      </c>
      <c r="BN21" s="539" t="str">
        <f t="shared" si="10"/>
        <v/>
      </c>
    </row>
    <row r="22" spans="2:66" ht="12.75" customHeight="1" x14ac:dyDescent="0.25">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0</v>
      </c>
      <c r="BI22" s="282" t="str">
        <f t="shared" si="7"/>
        <v>n.a.</v>
      </c>
      <c r="BK22" s="539" t="str">
        <f t="shared" si="8"/>
        <v/>
      </c>
      <c r="BL22" s="539" t="str">
        <f t="shared" si="9"/>
        <v/>
      </c>
      <c r="BM22" s="539" t="str">
        <f t="shared" si="19"/>
        <v/>
      </c>
      <c r="BN22" s="539" t="str">
        <f t="shared" si="10"/>
        <v/>
      </c>
    </row>
    <row r="23" spans="2:66" ht="12.75" customHeight="1" x14ac:dyDescent="0.25">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0</v>
      </c>
      <c r="BI23" s="282" t="str">
        <f t="shared" si="7"/>
        <v>n.a.</v>
      </c>
      <c r="BK23" s="539" t="str">
        <f t="shared" si="8"/>
        <v/>
      </c>
      <c r="BL23" s="539" t="str">
        <f t="shared" si="9"/>
        <v/>
      </c>
      <c r="BM23" s="539" t="str">
        <f t="shared" si="19"/>
        <v/>
      </c>
      <c r="BN23" s="539" t="str">
        <f t="shared" si="10"/>
        <v/>
      </c>
    </row>
    <row r="24" spans="2:66" ht="12.75" customHeight="1" x14ac:dyDescent="0.25">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0</v>
      </c>
      <c r="BI24" s="282" t="str">
        <f t="shared" si="7"/>
        <v>n.a.</v>
      </c>
      <c r="BK24" s="539" t="str">
        <f t="shared" si="8"/>
        <v/>
      </c>
      <c r="BL24" s="539" t="str">
        <f t="shared" si="9"/>
        <v/>
      </c>
      <c r="BM24" s="539" t="str">
        <f t="shared" si="19"/>
        <v/>
      </c>
      <c r="BN24" s="539" t="str">
        <f t="shared" si="10"/>
        <v/>
      </c>
    </row>
    <row r="25" spans="2:66" ht="12.75" customHeight="1" x14ac:dyDescent="0.25">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0</v>
      </c>
      <c r="BI25" s="282" t="str">
        <f t="shared" si="7"/>
        <v>n.a.</v>
      </c>
      <c r="BK25" s="539" t="str">
        <f t="shared" si="8"/>
        <v/>
      </c>
      <c r="BL25" s="539" t="str">
        <f t="shared" si="9"/>
        <v/>
      </c>
      <c r="BM25" s="539" t="str">
        <f t="shared" si="19"/>
        <v/>
      </c>
      <c r="BN25" s="539" t="str">
        <f t="shared" si="10"/>
        <v/>
      </c>
    </row>
    <row r="26" spans="2:66" ht="12.75" customHeight="1" x14ac:dyDescent="0.25">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0</v>
      </c>
      <c r="BI26" s="282" t="str">
        <f t="shared" si="7"/>
        <v>n.a.</v>
      </c>
      <c r="BK26" s="539" t="str">
        <f t="shared" si="8"/>
        <v/>
      </c>
      <c r="BL26" s="539" t="str">
        <f t="shared" si="9"/>
        <v/>
      </c>
      <c r="BM26" s="539" t="str">
        <f t="shared" si="19"/>
        <v/>
      </c>
      <c r="BN26" s="539" t="str">
        <f t="shared" si="10"/>
        <v/>
      </c>
    </row>
    <row r="27" spans="2:66" ht="12.75" customHeight="1" x14ac:dyDescent="0.25">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0</v>
      </c>
      <c r="BI27" s="282" t="str">
        <f t="shared" si="7"/>
        <v>n.a.</v>
      </c>
      <c r="BK27" s="539" t="str">
        <f t="shared" si="8"/>
        <v/>
      </c>
      <c r="BL27" s="539" t="str">
        <f t="shared" si="9"/>
        <v/>
      </c>
      <c r="BM27" s="539" t="str">
        <f t="shared" si="19"/>
        <v/>
      </c>
      <c r="BN27" s="539" t="str">
        <f t="shared" si="10"/>
        <v/>
      </c>
    </row>
    <row r="28" spans="2:66" ht="12.75" customHeight="1" x14ac:dyDescent="0.25">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0</v>
      </c>
      <c r="BI28" s="282" t="str">
        <f t="shared" si="7"/>
        <v>n.a.</v>
      </c>
      <c r="BK28" s="539" t="str">
        <f t="shared" si="8"/>
        <v/>
      </c>
      <c r="BL28" s="539" t="str">
        <f t="shared" si="9"/>
        <v/>
      </c>
      <c r="BM28" s="539" t="str">
        <f t="shared" si="19"/>
        <v/>
      </c>
      <c r="BN28" s="539" t="str">
        <f t="shared" si="10"/>
        <v/>
      </c>
    </row>
    <row r="29" spans="2:66" ht="12.75" customHeight="1" x14ac:dyDescent="0.25">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0</v>
      </c>
      <c r="BI29" s="282" t="str">
        <f t="shared" si="7"/>
        <v>n.a.</v>
      </c>
      <c r="BK29" s="539" t="str">
        <f t="shared" si="8"/>
        <v/>
      </c>
      <c r="BL29" s="539" t="str">
        <f t="shared" si="9"/>
        <v/>
      </c>
      <c r="BM29" s="539" t="str">
        <f t="shared" si="19"/>
        <v/>
      </c>
      <c r="BN29" s="539" t="str">
        <f t="shared" si="10"/>
        <v/>
      </c>
    </row>
    <row r="30" spans="2:66" ht="12.75" customHeight="1" x14ac:dyDescent="0.25">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0</v>
      </c>
      <c r="BI30" s="282" t="str">
        <f t="shared" si="7"/>
        <v>n.a.</v>
      </c>
      <c r="BK30" s="539" t="str">
        <f t="shared" si="8"/>
        <v/>
      </c>
      <c r="BL30" s="539" t="str">
        <f t="shared" si="9"/>
        <v/>
      </c>
      <c r="BM30" s="539" t="str">
        <f t="shared" si="19"/>
        <v/>
      </c>
      <c r="BN30" s="539" t="str">
        <f t="shared" si="10"/>
        <v/>
      </c>
    </row>
    <row r="31" spans="2:66" ht="12.75" customHeight="1" x14ac:dyDescent="0.25">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0</v>
      </c>
      <c r="BI31" s="282" t="str">
        <f t="shared" si="7"/>
        <v>n.a.</v>
      </c>
      <c r="BK31" s="539" t="str">
        <f t="shared" si="8"/>
        <v/>
      </c>
      <c r="BL31" s="539" t="str">
        <f t="shared" si="9"/>
        <v/>
      </c>
      <c r="BM31" s="539" t="str">
        <f t="shared" si="19"/>
        <v/>
      </c>
      <c r="BN31" s="539" t="str">
        <f t="shared" si="10"/>
        <v/>
      </c>
    </row>
    <row r="32" spans="2:66" ht="12.75" customHeight="1" x14ac:dyDescent="0.25">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0</v>
      </c>
      <c r="BI32" s="282" t="str">
        <f t="shared" si="7"/>
        <v>n.a.</v>
      </c>
      <c r="BK32" s="539" t="str">
        <f t="shared" si="8"/>
        <v/>
      </c>
      <c r="BL32" s="539" t="str">
        <f t="shared" si="9"/>
        <v/>
      </c>
      <c r="BM32" s="539" t="str">
        <f t="shared" si="19"/>
        <v/>
      </c>
      <c r="BN32" s="539" t="str">
        <f t="shared" si="10"/>
        <v/>
      </c>
    </row>
    <row r="33" spans="2:66" ht="12.75" customHeight="1" x14ac:dyDescent="0.25">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0</v>
      </c>
      <c r="BI33" s="282" t="str">
        <f t="shared" si="7"/>
        <v>n.a.</v>
      </c>
      <c r="BK33" s="539" t="str">
        <f t="shared" si="8"/>
        <v/>
      </c>
      <c r="BL33" s="539" t="str">
        <f t="shared" si="9"/>
        <v/>
      </c>
      <c r="BM33" s="539" t="str">
        <f t="shared" si="19"/>
        <v/>
      </c>
      <c r="BN33" s="539" t="str">
        <f t="shared" si="10"/>
        <v/>
      </c>
    </row>
    <row r="34" spans="2:66" ht="12.75" customHeight="1" x14ac:dyDescent="0.25">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0</v>
      </c>
      <c r="BI34" s="282" t="str">
        <f t="shared" si="7"/>
        <v>n.a.</v>
      </c>
      <c r="BK34" s="539" t="str">
        <f t="shared" si="8"/>
        <v/>
      </c>
      <c r="BL34" s="539" t="str">
        <f t="shared" si="9"/>
        <v/>
      </c>
      <c r="BM34" s="539" t="str">
        <f t="shared" si="19"/>
        <v/>
      </c>
      <c r="BN34" s="539" t="str">
        <f t="shared" si="10"/>
        <v/>
      </c>
    </row>
    <row r="35" spans="2:66" ht="12.75" customHeight="1" x14ac:dyDescent="0.25">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0</v>
      </c>
      <c r="BI35" s="282" t="str">
        <f t="shared" si="7"/>
        <v>n.a.</v>
      </c>
      <c r="BK35" s="539" t="str">
        <f t="shared" si="8"/>
        <v/>
      </c>
      <c r="BL35" s="539" t="str">
        <f t="shared" si="9"/>
        <v/>
      </c>
      <c r="BM35" s="539" t="str">
        <f t="shared" si="19"/>
        <v/>
      </c>
      <c r="BN35" s="539" t="str">
        <f t="shared" si="10"/>
        <v/>
      </c>
    </row>
    <row r="36" spans="2:66" ht="12.75" customHeight="1" x14ac:dyDescent="0.25">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0</v>
      </c>
      <c r="BI36" s="282" t="str">
        <f t="shared" si="7"/>
        <v>n.a.</v>
      </c>
      <c r="BK36" s="539" t="str">
        <f t="shared" si="8"/>
        <v/>
      </c>
      <c r="BL36" s="539" t="str">
        <f t="shared" si="9"/>
        <v/>
      </c>
      <c r="BM36" s="539" t="str">
        <f t="shared" si="19"/>
        <v/>
      </c>
      <c r="BN36" s="539" t="str">
        <f t="shared" si="10"/>
        <v/>
      </c>
    </row>
    <row r="37" spans="2:66" ht="12.75" customHeight="1" x14ac:dyDescent="0.25">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0</v>
      </c>
      <c r="BI37" s="282" t="str">
        <f t="shared" si="7"/>
        <v>n.a.</v>
      </c>
      <c r="BK37" s="539" t="str">
        <f t="shared" si="8"/>
        <v/>
      </c>
      <c r="BL37" s="539" t="str">
        <f t="shared" si="9"/>
        <v/>
      </c>
      <c r="BM37" s="539" t="str">
        <f t="shared" si="19"/>
        <v/>
      </c>
      <c r="BN37" s="539" t="str">
        <f t="shared" si="10"/>
        <v/>
      </c>
    </row>
    <row r="38" spans="2:66" ht="12.75" customHeight="1" x14ac:dyDescent="0.25">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0</v>
      </c>
      <c r="BI38" s="282" t="str">
        <f t="shared" si="7"/>
        <v>n.a.</v>
      </c>
      <c r="BK38" s="539" t="str">
        <f t="shared" si="8"/>
        <v/>
      </c>
      <c r="BL38" s="539" t="str">
        <f t="shared" si="9"/>
        <v/>
      </c>
      <c r="BM38" s="539" t="str">
        <f t="shared" si="19"/>
        <v/>
      </c>
      <c r="BN38" s="539" t="str">
        <f t="shared" si="10"/>
        <v/>
      </c>
    </row>
    <row r="39" spans="2:66" ht="12.75" customHeight="1" x14ac:dyDescent="0.25">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0</v>
      </c>
      <c r="BI39" s="282" t="str">
        <f t="shared" si="7"/>
        <v>n.a.</v>
      </c>
      <c r="BK39" s="539" t="str">
        <f t="shared" si="8"/>
        <v/>
      </c>
      <c r="BL39" s="539" t="str">
        <f t="shared" si="9"/>
        <v/>
      </c>
      <c r="BM39" s="539" t="str">
        <f t="shared" si="19"/>
        <v/>
      </c>
      <c r="BN39" s="539" t="str">
        <f t="shared" si="10"/>
        <v/>
      </c>
    </row>
    <row r="40" spans="2:66" ht="12.75" x14ac:dyDescent="0.25">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0</v>
      </c>
      <c r="BI40" s="282" t="str">
        <f t="shared" si="7"/>
        <v>n.a.</v>
      </c>
      <c r="BK40" s="539" t="str">
        <f t="shared" si="8"/>
        <v/>
      </c>
      <c r="BL40" s="539" t="str">
        <f t="shared" si="9"/>
        <v/>
      </c>
      <c r="BM40" s="539" t="str">
        <f t="shared" si="19"/>
        <v/>
      </c>
      <c r="BN40" s="539" t="str">
        <f t="shared" si="10"/>
        <v/>
      </c>
    </row>
    <row r="41" spans="2:66" ht="12.75" x14ac:dyDescent="0.25">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0</v>
      </c>
      <c r="BI41" s="282" t="str">
        <f t="shared" si="7"/>
        <v>n.a.</v>
      </c>
      <c r="BK41" s="539" t="str">
        <f t="shared" si="8"/>
        <v/>
      </c>
      <c r="BL41" s="539" t="str">
        <f t="shared" si="9"/>
        <v/>
      </c>
      <c r="BM41" s="539" t="str">
        <f t="shared" si="19"/>
        <v/>
      </c>
      <c r="BN41" s="539" t="str">
        <f t="shared" si="10"/>
        <v/>
      </c>
    </row>
    <row r="42" spans="2:66" ht="12.75" x14ac:dyDescent="0.25">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0</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2.75" x14ac:dyDescent="0.25">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0</v>
      </c>
      <c r="BI43" s="282" t="str">
        <f t="shared" si="27"/>
        <v>n.a.</v>
      </c>
      <c r="BK43" s="539" t="str">
        <f t="shared" si="28"/>
        <v/>
      </c>
      <c r="BL43" s="539" t="str">
        <f t="shared" si="29"/>
        <v/>
      </c>
      <c r="BM43" s="539" t="str">
        <f t="shared" si="30"/>
        <v/>
      </c>
      <c r="BN43" s="539" t="str">
        <f t="shared" si="31"/>
        <v/>
      </c>
    </row>
    <row r="44" spans="2:66" ht="12.75" x14ac:dyDescent="0.25">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0</v>
      </c>
      <c r="BI44" s="282" t="str">
        <f t="shared" si="27"/>
        <v>n.a.</v>
      </c>
      <c r="BK44" s="539" t="str">
        <f t="shared" si="28"/>
        <v/>
      </c>
      <c r="BL44" s="539" t="str">
        <f t="shared" si="29"/>
        <v/>
      </c>
      <c r="BM44" s="539" t="str">
        <f t="shared" si="30"/>
        <v/>
      </c>
      <c r="BN44" s="539" t="str">
        <f t="shared" si="31"/>
        <v/>
      </c>
    </row>
    <row r="45" spans="2:66" ht="12.75" x14ac:dyDescent="0.25">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0</v>
      </c>
      <c r="BI45" s="282" t="str">
        <f t="shared" si="27"/>
        <v>n.a.</v>
      </c>
      <c r="BK45" s="539" t="str">
        <f t="shared" si="28"/>
        <v/>
      </c>
      <c r="BL45" s="539" t="str">
        <f t="shared" si="29"/>
        <v/>
      </c>
      <c r="BM45" s="539" t="str">
        <f t="shared" si="30"/>
        <v/>
      </c>
      <c r="BN45" s="539" t="str">
        <f t="shared" si="31"/>
        <v/>
      </c>
    </row>
    <row r="46" spans="2:66" ht="12.75" x14ac:dyDescent="0.25">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0</v>
      </c>
      <c r="BI46" s="282" t="str">
        <f t="shared" si="27"/>
        <v>n.a.</v>
      </c>
      <c r="BK46" s="539" t="str">
        <f t="shared" si="28"/>
        <v/>
      </c>
      <c r="BL46" s="539" t="str">
        <f t="shared" si="29"/>
        <v/>
      </c>
      <c r="BM46" s="539" t="str">
        <f t="shared" si="30"/>
        <v/>
      </c>
      <c r="BN46" s="539" t="str">
        <f t="shared" si="31"/>
        <v/>
      </c>
    </row>
    <row r="47" spans="2:66" ht="12.75" x14ac:dyDescent="0.25">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0</v>
      </c>
      <c r="BI47" s="282" t="str">
        <f t="shared" si="27"/>
        <v>n.a.</v>
      </c>
      <c r="BK47" s="539" t="str">
        <f t="shared" si="28"/>
        <v/>
      </c>
      <c r="BL47" s="539" t="str">
        <f t="shared" si="29"/>
        <v/>
      </c>
      <c r="BM47" s="539" t="str">
        <f t="shared" si="30"/>
        <v/>
      </c>
      <c r="BN47" s="539" t="str">
        <f t="shared" si="31"/>
        <v/>
      </c>
    </row>
    <row r="48" spans="2:66" ht="12.75" x14ac:dyDescent="0.25">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0</v>
      </c>
      <c r="BI48" s="282" t="str">
        <f t="shared" si="27"/>
        <v>n.a.</v>
      </c>
      <c r="BK48" s="539" t="str">
        <f t="shared" si="28"/>
        <v/>
      </c>
      <c r="BL48" s="539" t="str">
        <f t="shared" si="29"/>
        <v/>
      </c>
      <c r="BM48" s="539" t="str">
        <f t="shared" si="30"/>
        <v/>
      </c>
      <c r="BN48" s="539" t="str">
        <f t="shared" si="31"/>
        <v/>
      </c>
    </row>
    <row r="49" spans="2:66" ht="12.75" x14ac:dyDescent="0.25">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0</v>
      </c>
      <c r="BI49" s="282" t="str">
        <f t="shared" si="27"/>
        <v>n.a.</v>
      </c>
      <c r="BK49" s="539" t="str">
        <f t="shared" si="28"/>
        <v/>
      </c>
      <c r="BL49" s="539" t="str">
        <f t="shared" si="29"/>
        <v/>
      </c>
      <c r="BM49" s="539" t="str">
        <f t="shared" si="30"/>
        <v/>
      </c>
      <c r="BN49" s="539" t="str">
        <f t="shared" si="31"/>
        <v/>
      </c>
    </row>
    <row r="50" spans="2:66" ht="12.75" x14ac:dyDescent="0.25">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0</v>
      </c>
      <c r="BI50" s="282" t="str">
        <f t="shared" si="27"/>
        <v>n.a.</v>
      </c>
      <c r="BK50" s="539" t="str">
        <f t="shared" si="28"/>
        <v/>
      </c>
      <c r="BL50" s="539" t="str">
        <f t="shared" si="29"/>
        <v/>
      </c>
      <c r="BM50" s="539" t="str">
        <f t="shared" si="30"/>
        <v/>
      </c>
      <c r="BN50" s="539" t="str">
        <f t="shared" si="31"/>
        <v/>
      </c>
    </row>
    <row r="51" spans="2:66" ht="12.75" x14ac:dyDescent="0.25">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0</v>
      </c>
      <c r="BI51" s="282" t="str">
        <f t="shared" si="27"/>
        <v>n.a.</v>
      </c>
      <c r="BK51" s="539" t="str">
        <f t="shared" si="28"/>
        <v/>
      </c>
      <c r="BL51" s="539" t="str">
        <f t="shared" si="29"/>
        <v/>
      </c>
      <c r="BM51" s="539" t="str">
        <f t="shared" si="30"/>
        <v/>
      </c>
      <c r="BN51" s="539" t="str">
        <f t="shared" si="31"/>
        <v/>
      </c>
    </row>
    <row r="52" spans="2:66" ht="12.75" x14ac:dyDescent="0.25">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0</v>
      </c>
      <c r="BI52" s="282" t="str">
        <f t="shared" si="27"/>
        <v>n.a.</v>
      </c>
      <c r="BK52" s="539" t="str">
        <f t="shared" si="28"/>
        <v/>
      </c>
      <c r="BL52" s="539" t="str">
        <f t="shared" si="29"/>
        <v/>
      </c>
      <c r="BM52" s="539" t="str">
        <f t="shared" si="30"/>
        <v/>
      </c>
      <c r="BN52" s="539" t="str">
        <f t="shared" si="31"/>
        <v/>
      </c>
    </row>
    <row r="53" spans="2:66" ht="12.75" x14ac:dyDescent="0.25">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0</v>
      </c>
      <c r="BI53" s="282" t="str">
        <f t="shared" si="27"/>
        <v>n.a.</v>
      </c>
      <c r="BK53" s="539" t="str">
        <f t="shared" si="28"/>
        <v/>
      </c>
      <c r="BL53" s="539" t="str">
        <f t="shared" si="29"/>
        <v/>
      </c>
      <c r="BM53" s="539" t="str">
        <f t="shared" si="30"/>
        <v/>
      </c>
      <c r="BN53" s="539" t="str">
        <f t="shared" si="31"/>
        <v/>
      </c>
    </row>
    <row r="54" spans="2:66" ht="12.75" x14ac:dyDescent="0.25">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0</v>
      </c>
      <c r="BI54" s="282" t="str">
        <f t="shared" si="27"/>
        <v>n.a.</v>
      </c>
      <c r="BK54" s="539" t="str">
        <f t="shared" si="28"/>
        <v/>
      </c>
      <c r="BL54" s="539" t="str">
        <f t="shared" si="29"/>
        <v/>
      </c>
      <c r="BM54" s="539" t="str">
        <f t="shared" si="30"/>
        <v/>
      </c>
      <c r="BN54" s="539" t="str">
        <f t="shared" si="31"/>
        <v/>
      </c>
    </row>
    <row r="55" spans="2:66" ht="12.75" x14ac:dyDescent="0.25">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0</v>
      </c>
      <c r="BI55" s="282" t="str">
        <f t="shared" si="27"/>
        <v>n.a.</v>
      </c>
      <c r="BK55" s="539" t="str">
        <f t="shared" si="28"/>
        <v/>
      </c>
      <c r="BL55" s="539" t="str">
        <f t="shared" si="29"/>
        <v/>
      </c>
      <c r="BM55" s="539" t="str">
        <f t="shared" si="30"/>
        <v/>
      </c>
      <c r="BN55" s="539" t="str">
        <f t="shared" si="31"/>
        <v/>
      </c>
    </row>
    <row r="56" spans="2:66" ht="12.75" x14ac:dyDescent="0.25">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0</v>
      </c>
      <c r="BI56" s="282" t="str">
        <f t="shared" si="27"/>
        <v>n.a.</v>
      </c>
      <c r="BK56" s="539" t="str">
        <f t="shared" si="28"/>
        <v/>
      </c>
      <c r="BL56" s="539" t="str">
        <f t="shared" si="29"/>
        <v/>
      </c>
      <c r="BM56" s="539" t="str">
        <f t="shared" si="30"/>
        <v/>
      </c>
      <c r="BN56" s="539" t="str">
        <f t="shared" si="31"/>
        <v/>
      </c>
    </row>
    <row r="57" spans="2:66" ht="12.75" x14ac:dyDescent="0.25">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0</v>
      </c>
      <c r="BI57" s="282" t="str">
        <f t="shared" si="27"/>
        <v>n.a.</v>
      </c>
      <c r="BK57" s="539" t="str">
        <f t="shared" si="28"/>
        <v/>
      </c>
      <c r="BL57" s="539" t="str">
        <f t="shared" si="29"/>
        <v/>
      </c>
      <c r="BM57" s="539" t="str">
        <f t="shared" si="30"/>
        <v/>
      </c>
      <c r="BN57" s="539" t="str">
        <f t="shared" si="31"/>
        <v/>
      </c>
    </row>
    <row r="58" spans="2:66" ht="12.75" x14ac:dyDescent="0.25">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0</v>
      </c>
      <c r="BI58" s="282" t="str">
        <f t="shared" si="27"/>
        <v>n.a.</v>
      </c>
      <c r="BK58" s="539" t="str">
        <f t="shared" si="28"/>
        <v/>
      </c>
      <c r="BL58" s="539" t="str">
        <f t="shared" si="29"/>
        <v/>
      </c>
      <c r="BM58" s="539" t="str">
        <f t="shared" si="30"/>
        <v/>
      </c>
      <c r="BN58" s="539" t="str">
        <f t="shared" si="31"/>
        <v/>
      </c>
    </row>
    <row r="59" spans="2:66" ht="12.75" x14ac:dyDescent="0.25">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0</v>
      </c>
      <c r="BI59" s="282" t="str">
        <f t="shared" si="27"/>
        <v>n.a.</v>
      </c>
      <c r="BK59" s="539" t="str">
        <f t="shared" si="28"/>
        <v/>
      </c>
      <c r="BL59" s="539" t="str">
        <f t="shared" si="29"/>
        <v/>
      </c>
      <c r="BM59" s="539" t="str">
        <f t="shared" si="30"/>
        <v/>
      </c>
      <c r="BN59" s="539" t="str">
        <f t="shared" si="31"/>
        <v/>
      </c>
    </row>
    <row r="60" spans="2:66" ht="12.75" x14ac:dyDescent="0.25">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0</v>
      </c>
      <c r="BI60" s="282" t="str">
        <f t="shared" si="27"/>
        <v>n.a.</v>
      </c>
      <c r="BK60" s="539" t="str">
        <f t="shared" si="28"/>
        <v/>
      </c>
      <c r="BL60" s="539" t="str">
        <f t="shared" si="29"/>
        <v/>
      </c>
      <c r="BM60" s="539" t="str">
        <f t="shared" si="30"/>
        <v/>
      </c>
      <c r="BN60" s="539" t="str">
        <f t="shared" si="31"/>
        <v/>
      </c>
    </row>
    <row r="61" spans="2:66" ht="12.75" x14ac:dyDescent="0.25">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0</v>
      </c>
      <c r="BI61" s="282" t="str">
        <f t="shared" si="27"/>
        <v>n.a.</v>
      </c>
      <c r="BK61" s="539" t="str">
        <f t="shared" si="28"/>
        <v/>
      </c>
      <c r="BL61" s="539" t="str">
        <f t="shared" si="29"/>
        <v/>
      </c>
      <c r="BM61" s="539" t="str">
        <f t="shared" si="30"/>
        <v/>
      </c>
      <c r="BN61" s="539" t="str">
        <f t="shared" si="31"/>
        <v/>
      </c>
    </row>
    <row r="62" spans="2:66" ht="12.75" x14ac:dyDescent="0.25">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0</v>
      </c>
      <c r="BI62" s="282" t="str">
        <f t="shared" si="27"/>
        <v>n.a.</v>
      </c>
      <c r="BK62" s="539" t="str">
        <f t="shared" si="28"/>
        <v/>
      </c>
      <c r="BL62" s="539" t="str">
        <f t="shared" si="29"/>
        <v/>
      </c>
      <c r="BM62" s="539" t="str">
        <f t="shared" si="30"/>
        <v/>
      </c>
      <c r="BN62" s="539" t="str">
        <f t="shared" si="31"/>
        <v/>
      </c>
    </row>
    <row r="63" spans="2:66" ht="12.75" x14ac:dyDescent="0.25">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0</v>
      </c>
      <c r="BI63" s="282" t="str">
        <f t="shared" si="27"/>
        <v>n.a.</v>
      </c>
      <c r="BK63" s="539" t="str">
        <f t="shared" si="28"/>
        <v/>
      </c>
      <c r="BL63" s="539" t="str">
        <f t="shared" si="29"/>
        <v/>
      </c>
      <c r="BM63" s="539" t="str">
        <f t="shared" si="30"/>
        <v/>
      </c>
      <c r="BN63" s="539" t="str">
        <f t="shared" si="31"/>
        <v/>
      </c>
    </row>
    <row r="64" spans="2:66" ht="12.75" x14ac:dyDescent="0.25">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0</v>
      </c>
      <c r="BI64" s="282" t="str">
        <f t="shared" si="27"/>
        <v>n.a.</v>
      </c>
      <c r="BK64" s="539" t="str">
        <f t="shared" si="28"/>
        <v/>
      </c>
      <c r="BL64" s="539" t="str">
        <f t="shared" si="29"/>
        <v/>
      </c>
      <c r="BM64" s="539" t="str">
        <f t="shared" si="30"/>
        <v/>
      </c>
      <c r="BN64" s="539" t="str">
        <f t="shared" si="31"/>
        <v/>
      </c>
    </row>
    <row r="65" spans="2:66" ht="12.75" x14ac:dyDescent="0.25">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0</v>
      </c>
      <c r="BI65" s="282" t="str">
        <f t="shared" si="27"/>
        <v>n.a.</v>
      </c>
      <c r="BK65" s="539" t="str">
        <f t="shared" si="28"/>
        <v/>
      </c>
      <c r="BL65" s="539" t="str">
        <f t="shared" si="29"/>
        <v/>
      </c>
      <c r="BM65" s="539" t="str">
        <f t="shared" si="30"/>
        <v/>
      </c>
      <c r="BN65" s="539" t="str">
        <f t="shared" si="31"/>
        <v/>
      </c>
    </row>
    <row r="66" spans="2:66" ht="12.75" x14ac:dyDescent="0.25">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0</v>
      </c>
      <c r="BI66" s="282" t="str">
        <f t="shared" si="27"/>
        <v>n.a.</v>
      </c>
      <c r="BK66" s="539" t="str">
        <f t="shared" si="28"/>
        <v/>
      </c>
      <c r="BL66" s="539" t="str">
        <f t="shared" si="29"/>
        <v/>
      </c>
      <c r="BM66" s="539" t="str">
        <f t="shared" si="30"/>
        <v/>
      </c>
      <c r="BN66" s="539" t="str">
        <f t="shared" si="31"/>
        <v/>
      </c>
    </row>
    <row r="67" spans="2:66" ht="12.75" x14ac:dyDescent="0.25">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0</v>
      </c>
      <c r="BI67" s="282" t="str">
        <f t="shared" si="27"/>
        <v>n.a.</v>
      </c>
      <c r="BK67" s="539" t="str">
        <f t="shared" si="28"/>
        <v/>
      </c>
      <c r="BL67" s="539" t="str">
        <f t="shared" si="29"/>
        <v/>
      </c>
      <c r="BM67" s="539" t="str">
        <f t="shared" si="30"/>
        <v/>
      </c>
      <c r="BN67" s="539" t="str">
        <f t="shared" si="31"/>
        <v/>
      </c>
    </row>
    <row r="68" spans="2:66" ht="12.75" x14ac:dyDescent="0.25">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0</v>
      </c>
      <c r="BI68" s="282" t="str">
        <f t="shared" si="27"/>
        <v>n.a.</v>
      </c>
      <c r="BK68" s="539" t="str">
        <f t="shared" si="28"/>
        <v/>
      </c>
      <c r="BL68" s="539" t="str">
        <f t="shared" si="29"/>
        <v/>
      </c>
      <c r="BM68" s="539" t="str">
        <f t="shared" si="30"/>
        <v/>
      </c>
      <c r="BN68" s="539" t="str">
        <f t="shared" si="31"/>
        <v/>
      </c>
    </row>
    <row r="69" spans="2:66" ht="12.75" x14ac:dyDescent="0.25">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0</v>
      </c>
      <c r="BI69" s="282" t="str">
        <f t="shared" si="27"/>
        <v>n.a.</v>
      </c>
      <c r="BK69" s="539" t="str">
        <f t="shared" si="28"/>
        <v/>
      </c>
      <c r="BL69" s="539" t="str">
        <f t="shared" si="29"/>
        <v/>
      </c>
      <c r="BM69" s="539" t="str">
        <f t="shared" si="30"/>
        <v/>
      </c>
      <c r="BN69" s="539" t="str">
        <f t="shared" si="31"/>
        <v/>
      </c>
    </row>
    <row r="70" spans="2:66" ht="12.75" x14ac:dyDescent="0.25">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0</v>
      </c>
      <c r="BI70" s="282" t="str">
        <f t="shared" si="27"/>
        <v>n.a.</v>
      </c>
      <c r="BK70" s="539" t="str">
        <f t="shared" si="28"/>
        <v/>
      </c>
      <c r="BL70" s="539" t="str">
        <f t="shared" si="29"/>
        <v/>
      </c>
      <c r="BM70" s="539" t="str">
        <f t="shared" si="30"/>
        <v/>
      </c>
      <c r="BN70" s="539" t="str">
        <f t="shared" si="31"/>
        <v/>
      </c>
    </row>
    <row r="71" spans="2:66" ht="12.75" x14ac:dyDescent="0.25">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0</v>
      </c>
      <c r="BI71" s="282" t="str">
        <f t="shared" si="27"/>
        <v>n.a.</v>
      </c>
      <c r="BK71" s="539" t="str">
        <f t="shared" si="28"/>
        <v/>
      </c>
      <c r="BL71" s="539" t="str">
        <f t="shared" si="29"/>
        <v/>
      </c>
      <c r="BM71" s="539" t="str">
        <f t="shared" si="30"/>
        <v/>
      </c>
      <c r="BN71" s="539" t="str">
        <f t="shared" si="31"/>
        <v/>
      </c>
    </row>
    <row r="72" spans="2:66" ht="12.75" x14ac:dyDescent="0.25">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0</v>
      </c>
      <c r="BI72" s="282" t="str">
        <f t="shared" si="27"/>
        <v>n.a.</v>
      </c>
      <c r="BK72" s="539" t="str">
        <f t="shared" si="28"/>
        <v/>
      </c>
      <c r="BL72" s="539" t="str">
        <f t="shared" si="29"/>
        <v/>
      </c>
      <c r="BM72" s="539" t="str">
        <f t="shared" si="30"/>
        <v/>
      </c>
      <c r="BN72" s="539" t="str">
        <f t="shared" si="31"/>
        <v/>
      </c>
    </row>
    <row r="73" spans="2:66" ht="12.75" x14ac:dyDescent="0.25">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0</v>
      </c>
      <c r="BI73" s="282" t="str">
        <f t="shared" si="27"/>
        <v>n.a.</v>
      </c>
      <c r="BK73" s="539" t="str">
        <f t="shared" si="28"/>
        <v/>
      </c>
      <c r="BL73" s="539" t="str">
        <f t="shared" si="29"/>
        <v/>
      </c>
      <c r="BM73" s="539" t="str">
        <f t="shared" si="30"/>
        <v/>
      </c>
      <c r="BN73" s="539" t="str">
        <f t="shared" si="31"/>
        <v/>
      </c>
    </row>
    <row r="74" spans="2:66" ht="12.75" x14ac:dyDescent="0.25">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0</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2.75" x14ac:dyDescent="0.25">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0</v>
      </c>
      <c r="BI75" s="282" t="str">
        <f t="shared" si="38"/>
        <v>n.a.</v>
      </c>
      <c r="BK75" s="539" t="str">
        <f t="shared" si="39"/>
        <v/>
      </c>
      <c r="BL75" s="539" t="str">
        <f t="shared" si="40"/>
        <v/>
      </c>
      <c r="BM75" s="539" t="str">
        <f t="shared" si="41"/>
        <v/>
      </c>
      <c r="BN75" s="539" t="str">
        <f t="shared" si="42"/>
        <v/>
      </c>
    </row>
    <row r="76" spans="2:66" ht="12.75" x14ac:dyDescent="0.25">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0</v>
      </c>
      <c r="BI76" s="282" t="str">
        <f t="shared" si="38"/>
        <v>n.a.</v>
      </c>
      <c r="BK76" s="539" t="str">
        <f t="shared" si="39"/>
        <v/>
      </c>
      <c r="BL76" s="539" t="str">
        <f t="shared" si="40"/>
        <v/>
      </c>
      <c r="BM76" s="539" t="str">
        <f t="shared" si="41"/>
        <v/>
      </c>
      <c r="BN76" s="539" t="str">
        <f t="shared" si="42"/>
        <v/>
      </c>
    </row>
    <row r="77" spans="2:66" ht="12.75" x14ac:dyDescent="0.25">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0</v>
      </c>
      <c r="BI77" s="282" t="str">
        <f t="shared" si="38"/>
        <v>n.a.</v>
      </c>
      <c r="BK77" s="539" t="str">
        <f t="shared" si="39"/>
        <v/>
      </c>
      <c r="BL77" s="539" t="str">
        <f t="shared" si="40"/>
        <v/>
      </c>
      <c r="BM77" s="539" t="str">
        <f t="shared" si="41"/>
        <v/>
      </c>
      <c r="BN77" s="539" t="str">
        <f t="shared" si="42"/>
        <v/>
      </c>
    </row>
    <row r="78" spans="2:66" ht="12.75" x14ac:dyDescent="0.25">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0</v>
      </c>
      <c r="BI78" s="282" t="str">
        <f t="shared" si="38"/>
        <v>n.a.</v>
      </c>
      <c r="BK78" s="539" t="str">
        <f t="shared" si="39"/>
        <v/>
      </c>
      <c r="BL78" s="539" t="str">
        <f t="shared" si="40"/>
        <v/>
      </c>
      <c r="BM78" s="539" t="str">
        <f t="shared" si="41"/>
        <v/>
      </c>
      <c r="BN78" s="539" t="str">
        <f t="shared" si="42"/>
        <v/>
      </c>
    </row>
    <row r="79" spans="2:66" ht="12.75" x14ac:dyDescent="0.25">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0</v>
      </c>
      <c r="BI79" s="282" t="str">
        <f t="shared" si="38"/>
        <v>n.a.</v>
      </c>
      <c r="BK79" s="539" t="str">
        <f t="shared" si="39"/>
        <v/>
      </c>
      <c r="BL79" s="539" t="str">
        <f t="shared" si="40"/>
        <v/>
      </c>
      <c r="BM79" s="539" t="str">
        <f t="shared" si="41"/>
        <v/>
      </c>
      <c r="BN79" s="539" t="str">
        <f t="shared" si="42"/>
        <v/>
      </c>
    </row>
    <row r="80" spans="2:66" ht="12.75" x14ac:dyDescent="0.25">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0</v>
      </c>
      <c r="BI80" s="282" t="str">
        <f t="shared" si="38"/>
        <v>n.a.</v>
      </c>
      <c r="BK80" s="539" t="str">
        <f t="shared" si="39"/>
        <v/>
      </c>
      <c r="BL80" s="539" t="str">
        <f t="shared" si="40"/>
        <v/>
      </c>
      <c r="BM80" s="539" t="str">
        <f t="shared" si="41"/>
        <v/>
      </c>
      <c r="BN80" s="539" t="str">
        <f t="shared" si="42"/>
        <v/>
      </c>
    </row>
    <row r="81" spans="2:66" ht="12.75" x14ac:dyDescent="0.25">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0</v>
      </c>
      <c r="BI81" s="282" t="str">
        <f t="shared" si="38"/>
        <v>n.a.</v>
      </c>
      <c r="BK81" s="539" t="str">
        <f t="shared" si="39"/>
        <v/>
      </c>
      <c r="BL81" s="539" t="str">
        <f t="shared" si="40"/>
        <v/>
      </c>
      <c r="BM81" s="539" t="str">
        <f t="shared" si="41"/>
        <v/>
      </c>
      <c r="BN81" s="539" t="str">
        <f t="shared" si="42"/>
        <v/>
      </c>
    </row>
    <row r="82" spans="2:66" ht="12.75" x14ac:dyDescent="0.25">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0</v>
      </c>
      <c r="BI82" s="282" t="str">
        <f t="shared" si="38"/>
        <v>n.a.</v>
      </c>
      <c r="BK82" s="539" t="str">
        <f t="shared" si="39"/>
        <v/>
      </c>
      <c r="BL82" s="539" t="str">
        <f t="shared" si="40"/>
        <v/>
      </c>
      <c r="BM82" s="539" t="str">
        <f t="shared" si="41"/>
        <v/>
      </c>
      <c r="BN82" s="539" t="str">
        <f t="shared" si="42"/>
        <v/>
      </c>
    </row>
    <row r="83" spans="2:66" ht="12.75" x14ac:dyDescent="0.25">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0</v>
      </c>
      <c r="BI83" s="282" t="str">
        <f t="shared" si="38"/>
        <v>n.a.</v>
      </c>
      <c r="BK83" s="539" t="str">
        <f t="shared" si="39"/>
        <v/>
      </c>
      <c r="BL83" s="539" t="str">
        <f t="shared" si="40"/>
        <v/>
      </c>
      <c r="BM83" s="539" t="str">
        <f t="shared" si="41"/>
        <v/>
      </c>
      <c r="BN83" s="539" t="str">
        <f t="shared" si="42"/>
        <v/>
      </c>
    </row>
    <row r="84" spans="2:66" ht="12.75" x14ac:dyDescent="0.25">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0</v>
      </c>
      <c r="BI84" s="282" t="str">
        <f t="shared" si="38"/>
        <v>n.a.</v>
      </c>
      <c r="BK84" s="539" t="str">
        <f t="shared" si="39"/>
        <v/>
      </c>
      <c r="BL84" s="539" t="str">
        <f t="shared" si="40"/>
        <v/>
      </c>
      <c r="BM84" s="539" t="str">
        <f t="shared" si="41"/>
        <v/>
      </c>
      <c r="BN84" s="539" t="str">
        <f t="shared" si="42"/>
        <v/>
      </c>
    </row>
    <row r="85" spans="2:66" ht="12.75" x14ac:dyDescent="0.25">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0</v>
      </c>
      <c r="BI85" s="282" t="str">
        <f t="shared" si="38"/>
        <v>n.a.</v>
      </c>
      <c r="BK85" s="539" t="str">
        <f t="shared" si="39"/>
        <v/>
      </c>
      <c r="BL85" s="539" t="str">
        <f t="shared" si="40"/>
        <v/>
      </c>
      <c r="BM85" s="539" t="str">
        <f t="shared" si="41"/>
        <v/>
      </c>
      <c r="BN85" s="539" t="str">
        <f t="shared" si="42"/>
        <v/>
      </c>
    </row>
    <row r="86" spans="2:66" ht="12.75" x14ac:dyDescent="0.25">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0</v>
      </c>
      <c r="BI86" s="282" t="str">
        <f t="shared" si="38"/>
        <v>n.a.</v>
      </c>
      <c r="BK86" s="539" t="str">
        <f t="shared" si="39"/>
        <v/>
      </c>
      <c r="BL86" s="539" t="str">
        <f t="shared" si="40"/>
        <v/>
      </c>
      <c r="BM86" s="539" t="str">
        <f t="shared" si="41"/>
        <v/>
      </c>
      <c r="BN86" s="539" t="str">
        <f t="shared" si="42"/>
        <v/>
      </c>
    </row>
    <row r="87" spans="2:66" ht="12.75" x14ac:dyDescent="0.25">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0</v>
      </c>
      <c r="BI87" s="282" t="str">
        <f t="shared" si="38"/>
        <v>n.a.</v>
      </c>
      <c r="BK87" s="539" t="str">
        <f t="shared" si="39"/>
        <v/>
      </c>
      <c r="BL87" s="539" t="str">
        <f t="shared" si="40"/>
        <v/>
      </c>
      <c r="BM87" s="539" t="str">
        <f t="shared" si="41"/>
        <v/>
      </c>
      <c r="BN87" s="539" t="str">
        <f t="shared" si="42"/>
        <v/>
      </c>
    </row>
    <row r="88" spans="2:66" ht="12.75" x14ac:dyDescent="0.25">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0</v>
      </c>
      <c r="BI88" s="282" t="str">
        <f t="shared" si="38"/>
        <v>n.a.</v>
      </c>
      <c r="BK88" s="539" t="str">
        <f t="shared" si="39"/>
        <v/>
      </c>
      <c r="BL88" s="539" t="str">
        <f t="shared" si="40"/>
        <v/>
      </c>
      <c r="BM88" s="539" t="str">
        <f t="shared" si="41"/>
        <v/>
      </c>
      <c r="BN88" s="539" t="str">
        <f t="shared" si="42"/>
        <v/>
      </c>
    </row>
    <row r="89" spans="2:66" ht="12.75" x14ac:dyDescent="0.25">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0</v>
      </c>
      <c r="BI89" s="282" t="str">
        <f t="shared" si="38"/>
        <v>n.a.</v>
      </c>
      <c r="BK89" s="539" t="str">
        <f t="shared" si="39"/>
        <v/>
      </c>
      <c r="BL89" s="539" t="str">
        <f t="shared" si="40"/>
        <v/>
      </c>
      <c r="BM89" s="539" t="str">
        <f t="shared" si="41"/>
        <v/>
      </c>
      <c r="BN89" s="539" t="str">
        <f t="shared" si="42"/>
        <v/>
      </c>
    </row>
    <row r="90" spans="2:66" ht="12.75" x14ac:dyDescent="0.25">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0</v>
      </c>
      <c r="BI90" s="282" t="str">
        <f t="shared" si="38"/>
        <v>n.a.</v>
      </c>
      <c r="BK90" s="539" t="str">
        <f t="shared" si="39"/>
        <v/>
      </c>
      <c r="BL90" s="539" t="str">
        <f t="shared" si="40"/>
        <v/>
      </c>
      <c r="BM90" s="539" t="str">
        <f t="shared" si="41"/>
        <v/>
      </c>
      <c r="BN90" s="539" t="str">
        <f t="shared" si="42"/>
        <v/>
      </c>
    </row>
    <row r="91" spans="2:66" ht="12.75" x14ac:dyDescent="0.25">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0</v>
      </c>
      <c r="BI91" s="282" t="str">
        <f t="shared" si="38"/>
        <v>n.a.</v>
      </c>
      <c r="BK91" s="539" t="str">
        <f t="shared" si="39"/>
        <v/>
      </c>
      <c r="BL91" s="539" t="str">
        <f t="shared" si="40"/>
        <v/>
      </c>
      <c r="BM91" s="539" t="str">
        <f t="shared" si="41"/>
        <v/>
      </c>
      <c r="BN91" s="539" t="str">
        <f t="shared" si="42"/>
        <v/>
      </c>
    </row>
    <row r="92" spans="2:66" ht="12.75" x14ac:dyDescent="0.25">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0</v>
      </c>
      <c r="BI92" s="282" t="str">
        <f t="shared" si="38"/>
        <v>n.a.</v>
      </c>
      <c r="BK92" s="539" t="str">
        <f t="shared" si="39"/>
        <v/>
      </c>
      <c r="BL92" s="539" t="str">
        <f t="shared" si="40"/>
        <v/>
      </c>
      <c r="BM92" s="539" t="str">
        <f t="shared" si="41"/>
        <v/>
      </c>
      <c r="BN92" s="539" t="str">
        <f t="shared" si="42"/>
        <v/>
      </c>
    </row>
    <row r="93" spans="2:66" ht="12.75" x14ac:dyDescent="0.25">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0</v>
      </c>
      <c r="BI93" s="282" t="str">
        <f t="shared" si="38"/>
        <v>n.a.</v>
      </c>
      <c r="BK93" s="539" t="str">
        <f t="shared" si="39"/>
        <v/>
      </c>
      <c r="BL93" s="539" t="str">
        <f t="shared" si="40"/>
        <v/>
      </c>
      <c r="BM93" s="539" t="str">
        <f t="shared" si="41"/>
        <v/>
      </c>
      <c r="BN93" s="539" t="str">
        <f t="shared" si="42"/>
        <v/>
      </c>
    </row>
    <row r="94" spans="2:66" ht="12.75" x14ac:dyDescent="0.25">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0</v>
      </c>
      <c r="BI94" s="282" t="str">
        <f t="shared" si="38"/>
        <v>n.a.</v>
      </c>
      <c r="BK94" s="539" t="str">
        <f t="shared" si="39"/>
        <v/>
      </c>
      <c r="BL94" s="539" t="str">
        <f t="shared" si="40"/>
        <v/>
      </c>
      <c r="BM94" s="539" t="str">
        <f t="shared" si="41"/>
        <v/>
      </c>
      <c r="BN94" s="539" t="str">
        <f t="shared" si="42"/>
        <v/>
      </c>
    </row>
    <row r="95" spans="2:66" ht="12.75" x14ac:dyDescent="0.25">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0</v>
      </c>
      <c r="BI95" s="282" t="str">
        <f t="shared" si="38"/>
        <v>n.a.</v>
      </c>
      <c r="BK95" s="539" t="str">
        <f t="shared" si="39"/>
        <v/>
      </c>
      <c r="BL95" s="539" t="str">
        <f t="shared" si="40"/>
        <v/>
      </c>
      <c r="BM95" s="539" t="str">
        <f t="shared" si="41"/>
        <v/>
      </c>
      <c r="BN95" s="539" t="str">
        <f t="shared" si="42"/>
        <v/>
      </c>
    </row>
    <row r="96" spans="2:66" ht="12.75" x14ac:dyDescent="0.25">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0</v>
      </c>
      <c r="BI96" s="282" t="str">
        <f t="shared" si="38"/>
        <v>n.a.</v>
      </c>
      <c r="BK96" s="539" t="str">
        <f t="shared" si="39"/>
        <v/>
      </c>
      <c r="BL96" s="539" t="str">
        <f t="shared" si="40"/>
        <v/>
      </c>
      <c r="BM96" s="539" t="str">
        <f t="shared" si="41"/>
        <v/>
      </c>
      <c r="BN96" s="539" t="str">
        <f t="shared" si="42"/>
        <v/>
      </c>
    </row>
    <row r="97" spans="1:66" ht="12.75" x14ac:dyDescent="0.25">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0</v>
      </c>
      <c r="BI97" s="282" t="str">
        <f t="shared" si="38"/>
        <v>n.a.</v>
      </c>
      <c r="BK97" s="539" t="str">
        <f t="shared" si="39"/>
        <v/>
      </c>
      <c r="BL97" s="539" t="str">
        <f t="shared" si="40"/>
        <v/>
      </c>
      <c r="BM97" s="539" t="str">
        <f t="shared" si="41"/>
        <v/>
      </c>
      <c r="BN97" s="539" t="str">
        <f t="shared" si="42"/>
        <v/>
      </c>
    </row>
    <row r="98" spans="1:66" ht="12.75" x14ac:dyDescent="0.25">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0</v>
      </c>
      <c r="BI98" s="282" t="str">
        <f t="shared" si="38"/>
        <v>n.a.</v>
      </c>
      <c r="BK98" s="539" t="str">
        <f t="shared" si="39"/>
        <v/>
      </c>
      <c r="BL98" s="539" t="str">
        <f t="shared" si="40"/>
        <v/>
      </c>
      <c r="BM98" s="539" t="str">
        <f t="shared" si="41"/>
        <v/>
      </c>
      <c r="BN98" s="539" t="str">
        <f t="shared" si="42"/>
        <v/>
      </c>
    </row>
    <row r="99" spans="1:66" ht="12.75" x14ac:dyDescent="0.25">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0</v>
      </c>
      <c r="BI99" s="282" t="str">
        <f t="shared" si="38"/>
        <v>n.a.</v>
      </c>
      <c r="BK99" s="539" t="str">
        <f t="shared" si="39"/>
        <v/>
      </c>
      <c r="BL99" s="539" t="str">
        <f t="shared" si="40"/>
        <v/>
      </c>
      <c r="BM99" s="539" t="str">
        <f t="shared" si="41"/>
        <v/>
      </c>
      <c r="BN99" s="539" t="str">
        <f t="shared" si="42"/>
        <v/>
      </c>
    </row>
    <row r="100" spans="1:66" ht="12.75" x14ac:dyDescent="0.25">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0</v>
      </c>
      <c r="BI100" s="282" t="str">
        <f t="shared" si="38"/>
        <v>n.a.</v>
      </c>
      <c r="BK100" s="539" t="str">
        <f t="shared" si="39"/>
        <v/>
      </c>
      <c r="BL100" s="539" t="str">
        <f t="shared" si="40"/>
        <v/>
      </c>
      <c r="BM100" s="539" t="str">
        <f t="shared" si="41"/>
        <v/>
      </c>
      <c r="BN100" s="539" t="str">
        <f t="shared" si="42"/>
        <v/>
      </c>
    </row>
    <row r="101" spans="1:66" ht="12.75" x14ac:dyDescent="0.25">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0</v>
      </c>
      <c r="BI101" s="282" t="str">
        <f t="shared" si="38"/>
        <v>n.a.</v>
      </c>
      <c r="BK101" s="539" t="str">
        <f t="shared" si="39"/>
        <v/>
      </c>
      <c r="BL101" s="539" t="str">
        <f t="shared" si="40"/>
        <v/>
      </c>
      <c r="BM101" s="539" t="str">
        <f t="shared" si="41"/>
        <v/>
      </c>
      <c r="BN101" s="539" t="str">
        <f t="shared" si="42"/>
        <v/>
      </c>
    </row>
    <row r="102" spans="1:66" ht="12.75" x14ac:dyDescent="0.25">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0</v>
      </c>
      <c r="BI102" s="282" t="str">
        <f t="shared" si="38"/>
        <v>n.a.</v>
      </c>
      <c r="BK102" s="539" t="str">
        <f t="shared" si="39"/>
        <v/>
      </c>
      <c r="BL102" s="539" t="str">
        <f t="shared" si="40"/>
        <v/>
      </c>
      <c r="BM102" s="539" t="str">
        <f t="shared" si="41"/>
        <v/>
      </c>
      <c r="BN102" s="539" t="str">
        <f t="shared" si="42"/>
        <v/>
      </c>
    </row>
    <row r="103" spans="1:66" ht="12.75" x14ac:dyDescent="0.25">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0</v>
      </c>
      <c r="BI103" s="282" t="str">
        <f t="shared" si="38"/>
        <v>n.a.</v>
      </c>
      <c r="BK103" s="539" t="str">
        <f t="shared" si="39"/>
        <v/>
      </c>
      <c r="BL103" s="539" t="str">
        <f t="shared" si="40"/>
        <v/>
      </c>
      <c r="BM103" s="539" t="str">
        <f t="shared" si="41"/>
        <v/>
      </c>
      <c r="BN103" s="539" t="str">
        <f t="shared" si="42"/>
        <v/>
      </c>
    </row>
    <row r="104" spans="1:66" ht="12.75" x14ac:dyDescent="0.25">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0</v>
      </c>
      <c r="BI104" s="282" t="str">
        <f t="shared" si="38"/>
        <v>n.a.</v>
      </c>
      <c r="BK104" s="539" t="str">
        <f t="shared" si="39"/>
        <v/>
      </c>
      <c r="BL104" s="539" t="str">
        <f t="shared" si="40"/>
        <v/>
      </c>
      <c r="BM104" s="539" t="str">
        <f t="shared" si="41"/>
        <v/>
      </c>
      <c r="BN104" s="539" t="str">
        <f t="shared" si="42"/>
        <v/>
      </c>
    </row>
    <row r="105" spans="1:66" ht="12.75" x14ac:dyDescent="0.25">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0</v>
      </c>
      <c r="BI105" s="282" t="str">
        <f t="shared" si="38"/>
        <v>n.a.</v>
      </c>
      <c r="BK105" s="539" t="str">
        <f t="shared" si="39"/>
        <v/>
      </c>
      <c r="BL105" s="539" t="str">
        <f t="shared" si="40"/>
        <v/>
      </c>
      <c r="BM105" s="539" t="str">
        <f t="shared" si="41"/>
        <v/>
      </c>
      <c r="BN105" s="539" t="str">
        <f t="shared" si="42"/>
        <v/>
      </c>
    </row>
    <row r="106" spans="1:66" ht="12.75" x14ac:dyDescent="0.25">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0</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2.75" x14ac:dyDescent="0.25">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0</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2.75" x14ac:dyDescent="0.25">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0</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2.75" x14ac:dyDescent="0.25">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0</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x14ac:dyDescent="0.25">
      <c r="A111" s="278" t="s">
        <v>0</v>
      </c>
      <c r="BB111" s="278" t="s">
        <v>7</v>
      </c>
    </row>
    <row r="112" spans="1:66" s="278" customFormat="1" hidden="1" x14ac:dyDescent="0.25">
      <c r="A112" s="278" t="s">
        <v>0</v>
      </c>
      <c r="C112" s="278">
        <v>1</v>
      </c>
      <c r="F112" s="282" t="b">
        <v>0</v>
      </c>
      <c r="H112" s="282" t="b">
        <v>0</v>
      </c>
      <c r="O112" s="278" t="s">
        <v>1333</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0</v>
      </c>
      <c r="W112" s="282" t="b">
        <f>IF(OR($D10="",$D10=CONST_NA),FALSE,INDEX(Parameters_Constants!$K$101:$AF$118,MATCH($E10,CONST_LIST_Goods,0),MATCH(W$8,Parameters_Constants!$K$100:$AF$100,0))=FALSE)</f>
        <v>0</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0</v>
      </c>
      <c r="Z112" s="282" t="b">
        <f>IF(OR($D10="",$D10=CONST_NA),FALSE,INDEX(Parameters_Constants!$K$101:$AF$118,MATCH($E10,CONST_LIST_Goods,0),MATCH(Z$8,Parameters_Constants!$K$100:$AF$100,0))=FALSE)</f>
        <v>0</v>
      </c>
      <c r="AA112" s="282" t="b">
        <f>IF(OR($D10="",$D10=CONST_NA),FALSE,INDEX(Parameters_Constants!$K$101:$AF$118,MATCH($E10,CONST_LIST_Goods,0),MATCH(AA$8,Parameters_Constants!$K$100:$AF$100,0))=FALSE)</f>
        <v>0</v>
      </c>
      <c r="AB112" s="282" t="b">
        <f>IF(OR($D10="",$D10=CONST_NA),FALSE,INDEX(Parameters_Constants!$K$101:$AF$118,MATCH($E10,CONST_LIST_Goods,0),MATCH(AB$8,Parameters_Constants!$K$100:$AF$100,0))=FALSE)</f>
        <v>0</v>
      </c>
      <c r="AC112" s="282" t="b">
        <f>IF(OR($D10="",$D10=CONST_NA),FALSE,INDEX(Parameters_Constants!$K$101:$AF$118,MATCH($E10,CONST_LIST_Goods,0),MATCH(AC$8,Parameters_Constants!$K$100:$AF$100,0))=FALSE)</f>
        <v>0</v>
      </c>
      <c r="AD112" s="282" t="b">
        <f>IF(OR($D10="",$D10=CONST_NA),FALSE,INDEX(Parameters_Constants!$K$101:$AF$118,MATCH($E10,CONST_LIST_Goods,0),MATCH(AD$8,Parameters_Constants!$K$100:$AF$100,0))=FALSE)</f>
        <v>0</v>
      </c>
      <c r="AE112" s="282" t="b">
        <f>IF(OR($D10="",$D10=CONST_NA),FALSE,INDEX(Parameters_Constants!$K$101:$AF$118,MATCH($E10,CONST_LIST_Goods,0),MATCH(AE$8,Parameters_Constants!$K$100:$AF$100,0))=FALSE)</f>
        <v>0</v>
      </c>
      <c r="AF112" s="282" t="b">
        <f>IF(OR($D10="",$D10=CONST_NA),FALSE,INDEX(Parameters_Constants!$K$101:$AF$118,MATCH($E10,CONST_LIST_Goods,0),MATCH(AF$8,Parameters_Constants!$K$100:$AF$100,0))=FALSE)</f>
        <v>0</v>
      </c>
      <c r="AG112" s="282" t="b">
        <f>IF(OR($D10="",$D10=CONST_NA),FALSE,INDEX(Parameters_Constants!$K$101:$AF$118,MATCH($E10,CONST_LIST_Goods,0),MATCH(AG$8,Parameters_Constants!$K$100:$AF$100,0))=FALSE)</f>
        <v>0</v>
      </c>
      <c r="AH112" s="282" t="b">
        <f>IF(OR($D10="",$D10=CONST_NA),FALSE,INDEX(Parameters_Constants!$K$101:$AF$118,MATCH($E10,CONST_LIST_Goods,0),MATCH(AH$8,Parameters_Constants!$K$100:$AF$100,0))=FALSE)</f>
        <v>0</v>
      </c>
      <c r="AI112" s="282" t="b">
        <f>IF(OR($D10="",$D10=CONST_NA),FALSE,INDEX(Parameters_Constants!$K$101:$AF$118,MATCH($E10,CONST_LIST_Goods,0),MATCH(AI$8,Parameters_Constants!$K$100:$AF$100,0))=FALSE)</f>
        <v>0</v>
      </c>
      <c r="AJ112" s="282" t="b">
        <f>IF(OR($D10="",$D10=CONST_NA),FALSE,INDEX(Parameters_Constants!$K$101:$AF$118,MATCH($E10,CONST_LIST_Goods,0),MATCH(AJ$8,Parameters_Constants!$K$100:$AF$100,0))=FALSE)</f>
        <v>0</v>
      </c>
      <c r="AK112" s="282" t="b">
        <f>IF(OR($D10="",$D10=CONST_NA),FALSE,INDEX(Parameters_Constants!$K$101:$AF$118,MATCH($E10,CONST_LIST_Goods,0),MATCH(AK$8,Parameters_Constants!$K$100:$AF$100,0))=FALSE)</f>
        <v>0</v>
      </c>
    </row>
    <row r="113" spans="1:37" s="278" customFormat="1" hidden="1" x14ac:dyDescent="0.25">
      <c r="A113" s="278" t="s">
        <v>0</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x14ac:dyDescent="0.25">
      <c r="A114" s="278" t="s">
        <v>0</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x14ac:dyDescent="0.25">
      <c r="A115" s="278" t="s">
        <v>0</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x14ac:dyDescent="0.25">
      <c r="A116" s="278" t="s">
        <v>0</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x14ac:dyDescent="0.25">
      <c r="A117" s="278" t="s">
        <v>0</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x14ac:dyDescent="0.25">
      <c r="A118" s="278" t="s">
        <v>0</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x14ac:dyDescent="0.25">
      <c r="A119" s="278" t="s">
        <v>0</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x14ac:dyDescent="0.25">
      <c r="A120" s="278" t="s">
        <v>0</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x14ac:dyDescent="0.25">
      <c r="A121" s="278" t="s">
        <v>0</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x14ac:dyDescent="0.25">
      <c r="A122" s="278" t="s">
        <v>0</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x14ac:dyDescent="0.25">
      <c r="A123" s="278" t="s">
        <v>0</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x14ac:dyDescent="0.25">
      <c r="A124" s="278" t="s">
        <v>0</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x14ac:dyDescent="0.25">
      <c r="A125" s="278" t="s">
        <v>0</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x14ac:dyDescent="0.25">
      <c r="A126" s="278" t="s">
        <v>0</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x14ac:dyDescent="0.25">
      <c r="A127" s="278" t="s">
        <v>0</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x14ac:dyDescent="0.25">
      <c r="A128" s="278" t="s">
        <v>0</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x14ac:dyDescent="0.25">
      <c r="A129" s="278" t="s">
        <v>0</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x14ac:dyDescent="0.25">
      <c r="A130" s="278" t="s">
        <v>0</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x14ac:dyDescent="0.25">
      <c r="A131" s="278" t="s">
        <v>0</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x14ac:dyDescent="0.25">
      <c r="A132" s="278" t="s">
        <v>0</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x14ac:dyDescent="0.25">
      <c r="A133" s="278" t="s">
        <v>0</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x14ac:dyDescent="0.25">
      <c r="A134" s="278" t="s">
        <v>0</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x14ac:dyDescent="0.25">
      <c r="A135" s="278" t="s">
        <v>0</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x14ac:dyDescent="0.25">
      <c r="A136" s="278" t="s">
        <v>0</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x14ac:dyDescent="0.25">
      <c r="A137" s="278" t="s">
        <v>0</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x14ac:dyDescent="0.25">
      <c r="A138" s="278" t="s">
        <v>0</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x14ac:dyDescent="0.25">
      <c r="A139" s="278" t="s">
        <v>0</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x14ac:dyDescent="0.25">
      <c r="A140" s="278" t="s">
        <v>0</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x14ac:dyDescent="0.25">
      <c r="A141" s="278" t="s">
        <v>0</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x14ac:dyDescent="0.25">
      <c r="A142" s="278" t="s">
        <v>0</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x14ac:dyDescent="0.25">
      <c r="A143" s="278" t="s">
        <v>0</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x14ac:dyDescent="0.25">
      <c r="A144" s="278" t="s">
        <v>0</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x14ac:dyDescent="0.25">
      <c r="A145" s="278" t="s">
        <v>0</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x14ac:dyDescent="0.25">
      <c r="A146" s="278" t="s">
        <v>0</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x14ac:dyDescent="0.25">
      <c r="A147" s="278" t="s">
        <v>0</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x14ac:dyDescent="0.25">
      <c r="A148" s="278" t="s">
        <v>0</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x14ac:dyDescent="0.25">
      <c r="A149" s="278" t="s">
        <v>0</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x14ac:dyDescent="0.25">
      <c r="A150" s="278" t="s">
        <v>0</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x14ac:dyDescent="0.25">
      <c r="A151" s="278" t="s">
        <v>0</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x14ac:dyDescent="0.25">
      <c r="A152" s="278" t="s">
        <v>0</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x14ac:dyDescent="0.25">
      <c r="A153" s="278" t="s">
        <v>0</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x14ac:dyDescent="0.25">
      <c r="A154" s="278" t="s">
        <v>0</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x14ac:dyDescent="0.25">
      <c r="A155" s="278" t="s">
        <v>0</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x14ac:dyDescent="0.25">
      <c r="A156" s="278" t="s">
        <v>0</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x14ac:dyDescent="0.25">
      <c r="A157" s="278" t="s">
        <v>0</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x14ac:dyDescent="0.25">
      <c r="A158" s="278" t="s">
        <v>0</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x14ac:dyDescent="0.25">
      <c r="A159" s="278" t="s">
        <v>0</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x14ac:dyDescent="0.25">
      <c r="A160" s="278" t="s">
        <v>0</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x14ac:dyDescent="0.25">
      <c r="A161" s="278" t="s">
        <v>0</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x14ac:dyDescent="0.25">
      <c r="A162" s="278" t="s">
        <v>0</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x14ac:dyDescent="0.25">
      <c r="A163" s="278" t="s">
        <v>0</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x14ac:dyDescent="0.25">
      <c r="A164" s="278" t="s">
        <v>0</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x14ac:dyDescent="0.25">
      <c r="A165" s="278" t="s">
        <v>0</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x14ac:dyDescent="0.25">
      <c r="A166" s="278" t="s">
        <v>0</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x14ac:dyDescent="0.25">
      <c r="A167" s="278" t="s">
        <v>0</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x14ac:dyDescent="0.25">
      <c r="A168" s="278" t="s">
        <v>0</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x14ac:dyDescent="0.25">
      <c r="A169" s="278" t="s">
        <v>0</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x14ac:dyDescent="0.25">
      <c r="A170" s="278" t="s">
        <v>0</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x14ac:dyDescent="0.25">
      <c r="A171" s="278" t="s">
        <v>0</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x14ac:dyDescent="0.25">
      <c r="A172" s="278" t="s">
        <v>0</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x14ac:dyDescent="0.25">
      <c r="A173" s="278" t="s">
        <v>0</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x14ac:dyDescent="0.25">
      <c r="A174" s="278" t="s">
        <v>0</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x14ac:dyDescent="0.25">
      <c r="A175" s="278" t="s">
        <v>0</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x14ac:dyDescent="0.25">
      <c r="A176" s="278" t="s">
        <v>0</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x14ac:dyDescent="0.25">
      <c r="A177" s="278" t="s">
        <v>0</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x14ac:dyDescent="0.25">
      <c r="A178" s="278" t="s">
        <v>0</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x14ac:dyDescent="0.25">
      <c r="A179" s="278" t="s">
        <v>0</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x14ac:dyDescent="0.25">
      <c r="A180" s="278" t="s">
        <v>0</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x14ac:dyDescent="0.25">
      <c r="A181" s="278" t="s">
        <v>0</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x14ac:dyDescent="0.25">
      <c r="A182" s="278" t="s">
        <v>0</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x14ac:dyDescent="0.25">
      <c r="A183" s="278" t="s">
        <v>0</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x14ac:dyDescent="0.25">
      <c r="A184" s="278" t="s">
        <v>0</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x14ac:dyDescent="0.25">
      <c r="A185" s="278" t="s">
        <v>0</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x14ac:dyDescent="0.25">
      <c r="A186" s="278" t="s">
        <v>0</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x14ac:dyDescent="0.25">
      <c r="A187" s="278" t="s">
        <v>0</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x14ac:dyDescent="0.25">
      <c r="A188" s="278" t="s">
        <v>0</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x14ac:dyDescent="0.25">
      <c r="A189" s="278" t="s">
        <v>0</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x14ac:dyDescent="0.25">
      <c r="A190" s="278" t="s">
        <v>0</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x14ac:dyDescent="0.25">
      <c r="A191" s="278" t="s">
        <v>0</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x14ac:dyDescent="0.25">
      <c r="A192" s="278" t="s">
        <v>0</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x14ac:dyDescent="0.25">
      <c r="A193" s="278" t="s">
        <v>0</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x14ac:dyDescent="0.25">
      <c r="A194" s="278" t="s">
        <v>0</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x14ac:dyDescent="0.25">
      <c r="A195" s="278" t="s">
        <v>0</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x14ac:dyDescent="0.25">
      <c r="A196" s="278" t="s">
        <v>0</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x14ac:dyDescent="0.25">
      <c r="A197" s="278" t="s">
        <v>0</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x14ac:dyDescent="0.25">
      <c r="A198" s="278" t="s">
        <v>0</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x14ac:dyDescent="0.25">
      <c r="A199" s="278" t="s">
        <v>0</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x14ac:dyDescent="0.25">
      <c r="A200" s="278" t="s">
        <v>0</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x14ac:dyDescent="0.25">
      <c r="A201" s="278" t="s">
        <v>0</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x14ac:dyDescent="0.25">
      <c r="A202" s="278" t="s">
        <v>0</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x14ac:dyDescent="0.25">
      <c r="A203" s="278" t="s">
        <v>0</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x14ac:dyDescent="0.25">
      <c r="A204" s="278" t="s">
        <v>0</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x14ac:dyDescent="0.25">
      <c r="A205" s="278" t="s">
        <v>0</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x14ac:dyDescent="0.25">
      <c r="A206" s="278" t="s">
        <v>0</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x14ac:dyDescent="0.25">
      <c r="A207" s="278" t="s">
        <v>0</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x14ac:dyDescent="0.25">
      <c r="A208" s="278" t="s">
        <v>0</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x14ac:dyDescent="0.25">
      <c r="A209" s="278" t="s">
        <v>0</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x14ac:dyDescent="0.25">
      <c r="A210" s="278" t="s">
        <v>0</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x14ac:dyDescent="0.25">
      <c r="A211" s="278" t="s">
        <v>0</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x14ac:dyDescent="0.25">
      <c r="A212" s="278" t="s">
        <v>0</v>
      </c>
    </row>
    <row r="213" spans="1:53" s="278" customFormat="1" hidden="1" x14ac:dyDescent="0.25">
      <c r="A213" s="278" t="s">
        <v>0</v>
      </c>
    </row>
    <row r="214" spans="1:53" s="278" customFormat="1" hidden="1" x14ac:dyDescent="0.25">
      <c r="A214" s="278" t="s">
        <v>0</v>
      </c>
      <c r="C214" s="278">
        <v>1</v>
      </c>
      <c r="F214" s="282" t="b">
        <f t="shared" ref="F214:L223" si="53">AND($BG10=FALSE,AND(F112&lt;&gt;"",F112=FALSE),F10="")</f>
        <v>1</v>
      </c>
      <c r="G214" s="282" t="b">
        <f t="shared" si="53"/>
        <v>0</v>
      </c>
      <c r="H214" s="282" t="b">
        <f t="shared" si="53"/>
        <v>1</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1</v>
      </c>
      <c r="W214" s="282" t="b">
        <f t="shared" si="56"/>
        <v>1</v>
      </c>
      <c r="X214" s="282" t="b">
        <f t="shared" si="56"/>
        <v>1</v>
      </c>
      <c r="Y214" s="282" t="b">
        <f t="shared" si="56"/>
        <v>1</v>
      </c>
      <c r="Z214" s="282" t="b">
        <f t="shared" si="56"/>
        <v>1</v>
      </c>
      <c r="AA214" s="282" t="b">
        <f t="shared" si="56"/>
        <v>1</v>
      </c>
      <c r="AB214" s="282" t="b">
        <f t="shared" si="56"/>
        <v>1</v>
      </c>
      <c r="AC214" s="282" t="b">
        <f t="shared" si="56"/>
        <v>1</v>
      </c>
      <c r="AD214" s="282" t="b">
        <f t="shared" si="56"/>
        <v>1</v>
      </c>
      <c r="AE214" s="282" t="b">
        <f t="shared" si="56"/>
        <v>1</v>
      </c>
      <c r="AF214" s="282" t="b">
        <f t="shared" si="56"/>
        <v>1</v>
      </c>
      <c r="AG214" s="282" t="b">
        <f t="shared" si="56"/>
        <v>1</v>
      </c>
      <c r="AH214" s="282" t="b">
        <f t="shared" si="56"/>
        <v>1</v>
      </c>
      <c r="AI214" s="282" t="b">
        <f t="shared" si="56"/>
        <v>1</v>
      </c>
      <c r="AJ214" s="282" t="b">
        <f t="shared" si="56"/>
        <v>1</v>
      </c>
      <c r="AK214" s="282" t="b">
        <f t="shared" si="56"/>
        <v>1</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x14ac:dyDescent="0.25">
      <c r="A215" s="278" t="s">
        <v>0</v>
      </c>
      <c r="C215" s="278">
        <v>2</v>
      </c>
      <c r="F215" s="282" t="b">
        <f t="shared" si="53"/>
        <v>1</v>
      </c>
      <c r="G215" s="282" t="b">
        <f t="shared" si="53"/>
        <v>0</v>
      </c>
      <c r="H215" s="282" t="b">
        <f t="shared" si="53"/>
        <v>1</v>
      </c>
      <c r="I215" s="282" t="b">
        <f t="shared" si="53"/>
        <v>0</v>
      </c>
      <c r="J215" s="282" t="b">
        <f t="shared" si="53"/>
        <v>0</v>
      </c>
      <c r="K215" s="282" t="b">
        <f t="shared" si="53"/>
        <v>0</v>
      </c>
      <c r="L215" s="282" t="b">
        <f t="shared" si="53"/>
        <v>0</v>
      </c>
      <c r="M215" s="282"/>
      <c r="N215" s="282" t="b">
        <f t="shared" si="54"/>
        <v>0</v>
      </c>
      <c r="O215" s="282" t="b">
        <f t="shared" si="54"/>
        <v>0</v>
      </c>
      <c r="P215" s="282" t="b">
        <f t="shared" si="54"/>
        <v>1</v>
      </c>
      <c r="Q215" s="282" t="b">
        <f t="shared" si="55"/>
        <v>1</v>
      </c>
      <c r="R215" s="282" t="b">
        <f t="shared" ref="R215:AP215" si="58">AND($BG11=FALSE,AND(R113&lt;&gt;"",R113=FALSE),R11="")</f>
        <v>1</v>
      </c>
      <c r="S215" s="282" t="b">
        <f t="shared" si="58"/>
        <v>1</v>
      </c>
      <c r="T215" s="282" t="b">
        <f t="shared" si="58"/>
        <v>1</v>
      </c>
      <c r="U215" s="282" t="b">
        <f t="shared" si="58"/>
        <v>1</v>
      </c>
      <c r="V215" s="282" t="b">
        <f t="shared" si="58"/>
        <v>1</v>
      </c>
      <c r="W215" s="282" t="b">
        <f t="shared" si="58"/>
        <v>1</v>
      </c>
      <c r="X215" s="282" t="b">
        <f t="shared" si="58"/>
        <v>1</v>
      </c>
      <c r="Y215" s="282" t="b">
        <f t="shared" si="58"/>
        <v>1</v>
      </c>
      <c r="Z215" s="282" t="b">
        <f t="shared" si="58"/>
        <v>1</v>
      </c>
      <c r="AA215" s="282" t="b">
        <f t="shared" si="58"/>
        <v>1</v>
      </c>
      <c r="AB215" s="282" t="b">
        <f t="shared" si="58"/>
        <v>1</v>
      </c>
      <c r="AC215" s="282" t="b">
        <f t="shared" si="58"/>
        <v>1</v>
      </c>
      <c r="AD215" s="282" t="b">
        <f t="shared" si="58"/>
        <v>1</v>
      </c>
      <c r="AE215" s="282" t="b">
        <f t="shared" si="58"/>
        <v>1</v>
      </c>
      <c r="AF215" s="282" t="b">
        <f t="shared" si="58"/>
        <v>1</v>
      </c>
      <c r="AG215" s="282" t="b">
        <f t="shared" si="58"/>
        <v>1</v>
      </c>
      <c r="AH215" s="282" t="b">
        <f t="shared" si="58"/>
        <v>1</v>
      </c>
      <c r="AI215" s="282" t="b">
        <f t="shared" si="58"/>
        <v>1</v>
      </c>
      <c r="AJ215" s="282" t="b">
        <f t="shared" si="58"/>
        <v>1</v>
      </c>
      <c r="AK215" s="282" t="b">
        <f t="shared" si="58"/>
        <v>1</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x14ac:dyDescent="0.25">
      <c r="A216" s="278" t="s">
        <v>0</v>
      </c>
      <c r="C216" s="278">
        <v>3</v>
      </c>
      <c r="F216" s="282" t="b">
        <f t="shared" si="53"/>
        <v>1</v>
      </c>
      <c r="G216" s="282" t="b">
        <f t="shared" si="53"/>
        <v>0</v>
      </c>
      <c r="H216" s="282" t="b">
        <f t="shared" si="53"/>
        <v>1</v>
      </c>
      <c r="I216" s="282" t="b">
        <f t="shared" si="53"/>
        <v>0</v>
      </c>
      <c r="J216" s="282" t="b">
        <f t="shared" si="53"/>
        <v>0</v>
      </c>
      <c r="K216" s="282" t="b">
        <f t="shared" si="53"/>
        <v>0</v>
      </c>
      <c r="L216" s="282" t="b">
        <f t="shared" si="53"/>
        <v>0</v>
      </c>
      <c r="M216" s="282"/>
      <c r="N216" s="282" t="b">
        <f t="shared" si="54"/>
        <v>0</v>
      </c>
      <c r="O216" s="282" t="b">
        <f t="shared" si="54"/>
        <v>0</v>
      </c>
      <c r="P216" s="282" t="b">
        <f t="shared" si="54"/>
        <v>1</v>
      </c>
      <c r="Q216" s="282" t="b">
        <f t="shared" si="55"/>
        <v>1</v>
      </c>
      <c r="R216" s="282" t="b">
        <f t="shared" ref="R216:AP216" si="60">AND($BG12=FALSE,AND(R114&lt;&gt;"",R114=FALSE),R12="")</f>
        <v>1</v>
      </c>
      <c r="S216" s="282" t="b">
        <f t="shared" si="60"/>
        <v>1</v>
      </c>
      <c r="T216" s="282" t="b">
        <f t="shared" si="60"/>
        <v>1</v>
      </c>
      <c r="U216" s="282" t="b">
        <f t="shared" si="60"/>
        <v>1</v>
      </c>
      <c r="V216" s="282" t="b">
        <f t="shared" si="60"/>
        <v>1</v>
      </c>
      <c r="W216" s="282" t="b">
        <f t="shared" si="60"/>
        <v>1</v>
      </c>
      <c r="X216" s="282" t="b">
        <f t="shared" si="60"/>
        <v>1</v>
      </c>
      <c r="Y216" s="282" t="b">
        <f t="shared" si="60"/>
        <v>1</v>
      </c>
      <c r="Z216" s="282" t="b">
        <f t="shared" si="60"/>
        <v>1</v>
      </c>
      <c r="AA216" s="282" t="b">
        <f t="shared" si="60"/>
        <v>1</v>
      </c>
      <c r="AB216" s="282" t="b">
        <f t="shared" si="60"/>
        <v>1</v>
      </c>
      <c r="AC216" s="282" t="b">
        <f t="shared" si="60"/>
        <v>1</v>
      </c>
      <c r="AD216" s="282" t="b">
        <f t="shared" si="60"/>
        <v>1</v>
      </c>
      <c r="AE216" s="282" t="b">
        <f t="shared" si="60"/>
        <v>1</v>
      </c>
      <c r="AF216" s="282" t="b">
        <f t="shared" si="60"/>
        <v>1</v>
      </c>
      <c r="AG216" s="282" t="b">
        <f t="shared" si="60"/>
        <v>1</v>
      </c>
      <c r="AH216" s="282" t="b">
        <f t="shared" si="60"/>
        <v>1</v>
      </c>
      <c r="AI216" s="282" t="b">
        <f t="shared" si="60"/>
        <v>1</v>
      </c>
      <c r="AJ216" s="282" t="b">
        <f t="shared" si="60"/>
        <v>1</v>
      </c>
      <c r="AK216" s="282" t="b">
        <f t="shared" si="60"/>
        <v>1</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x14ac:dyDescent="0.25">
      <c r="A217" s="278" t="s">
        <v>0</v>
      </c>
      <c r="C217" s="278">
        <v>4</v>
      </c>
      <c r="F217" s="282" t="b">
        <f t="shared" si="53"/>
        <v>1</v>
      </c>
      <c r="G217" s="282" t="b">
        <f t="shared" si="53"/>
        <v>0</v>
      </c>
      <c r="H217" s="282" t="b">
        <f t="shared" si="53"/>
        <v>1</v>
      </c>
      <c r="I217" s="282" t="b">
        <f t="shared" si="53"/>
        <v>0</v>
      </c>
      <c r="J217" s="282" t="b">
        <f t="shared" si="53"/>
        <v>0</v>
      </c>
      <c r="K217" s="282" t="b">
        <f t="shared" si="53"/>
        <v>0</v>
      </c>
      <c r="L217" s="282" t="b">
        <f t="shared" si="53"/>
        <v>0</v>
      </c>
      <c r="M217" s="282"/>
      <c r="N217" s="282" t="b">
        <f t="shared" si="54"/>
        <v>0</v>
      </c>
      <c r="O217" s="282" t="b">
        <f t="shared" si="54"/>
        <v>0</v>
      </c>
      <c r="P217" s="282" t="b">
        <f t="shared" si="54"/>
        <v>1</v>
      </c>
      <c r="Q217" s="282" t="b">
        <f t="shared" si="55"/>
        <v>1</v>
      </c>
      <c r="R217" s="282" t="b">
        <f t="shared" ref="R217:AP217" si="62">AND($BG13=FALSE,AND(R115&lt;&gt;"",R115=FALSE),R13="")</f>
        <v>1</v>
      </c>
      <c r="S217" s="282" t="b">
        <f t="shared" si="62"/>
        <v>1</v>
      </c>
      <c r="T217" s="282" t="b">
        <f t="shared" si="62"/>
        <v>1</v>
      </c>
      <c r="U217" s="282" t="b">
        <f t="shared" si="62"/>
        <v>1</v>
      </c>
      <c r="V217" s="282" t="b">
        <f t="shared" si="62"/>
        <v>1</v>
      </c>
      <c r="W217" s="282" t="b">
        <f t="shared" si="62"/>
        <v>1</v>
      </c>
      <c r="X217" s="282" t="b">
        <f t="shared" si="62"/>
        <v>1</v>
      </c>
      <c r="Y217" s="282" t="b">
        <f t="shared" si="62"/>
        <v>1</v>
      </c>
      <c r="Z217" s="282" t="b">
        <f t="shared" si="62"/>
        <v>1</v>
      </c>
      <c r="AA217" s="282" t="b">
        <f t="shared" si="62"/>
        <v>1</v>
      </c>
      <c r="AB217" s="282" t="b">
        <f t="shared" si="62"/>
        <v>1</v>
      </c>
      <c r="AC217" s="282" t="b">
        <f t="shared" si="62"/>
        <v>1</v>
      </c>
      <c r="AD217" s="282" t="b">
        <f t="shared" si="62"/>
        <v>1</v>
      </c>
      <c r="AE217" s="282" t="b">
        <f t="shared" si="62"/>
        <v>1</v>
      </c>
      <c r="AF217" s="282" t="b">
        <f t="shared" si="62"/>
        <v>1</v>
      </c>
      <c r="AG217" s="282" t="b">
        <f t="shared" si="62"/>
        <v>1</v>
      </c>
      <c r="AH217" s="282" t="b">
        <f t="shared" si="62"/>
        <v>1</v>
      </c>
      <c r="AI217" s="282" t="b">
        <f t="shared" si="62"/>
        <v>1</v>
      </c>
      <c r="AJ217" s="282" t="b">
        <f t="shared" si="62"/>
        <v>1</v>
      </c>
      <c r="AK217" s="282" t="b">
        <f t="shared" si="62"/>
        <v>1</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x14ac:dyDescent="0.25">
      <c r="A218" s="278" t="s">
        <v>0</v>
      </c>
      <c r="C218" s="278">
        <v>5</v>
      </c>
      <c r="F218" s="282" t="b">
        <f t="shared" si="53"/>
        <v>1</v>
      </c>
      <c r="G218" s="282" t="b">
        <f t="shared" si="53"/>
        <v>0</v>
      </c>
      <c r="H218" s="282" t="b">
        <f t="shared" si="53"/>
        <v>1</v>
      </c>
      <c r="I218" s="282" t="b">
        <f t="shared" si="53"/>
        <v>0</v>
      </c>
      <c r="J218" s="282" t="b">
        <f t="shared" si="53"/>
        <v>0</v>
      </c>
      <c r="K218" s="282" t="b">
        <f t="shared" si="53"/>
        <v>0</v>
      </c>
      <c r="L218" s="282" t="b">
        <f t="shared" si="53"/>
        <v>0</v>
      </c>
      <c r="M218" s="282"/>
      <c r="N218" s="282" t="b">
        <f t="shared" si="54"/>
        <v>0</v>
      </c>
      <c r="O218" s="282" t="b">
        <f t="shared" si="54"/>
        <v>0</v>
      </c>
      <c r="P218" s="282" t="b">
        <f t="shared" si="54"/>
        <v>1</v>
      </c>
      <c r="Q218" s="282" t="b">
        <f t="shared" si="55"/>
        <v>1</v>
      </c>
      <c r="R218" s="282" t="b">
        <f t="shared" ref="R218:AP218" si="64">AND($BG14=FALSE,AND(R116&lt;&gt;"",R116=FALSE),R14="")</f>
        <v>1</v>
      </c>
      <c r="S218" s="282" t="b">
        <f t="shared" si="64"/>
        <v>1</v>
      </c>
      <c r="T218" s="282" t="b">
        <f t="shared" si="64"/>
        <v>1</v>
      </c>
      <c r="U218" s="282" t="b">
        <f t="shared" si="64"/>
        <v>1</v>
      </c>
      <c r="V218" s="282" t="b">
        <f t="shared" si="64"/>
        <v>1</v>
      </c>
      <c r="W218" s="282" t="b">
        <f t="shared" si="64"/>
        <v>1</v>
      </c>
      <c r="X218" s="282" t="b">
        <f t="shared" si="64"/>
        <v>1</v>
      </c>
      <c r="Y218" s="282" t="b">
        <f t="shared" si="64"/>
        <v>1</v>
      </c>
      <c r="Z218" s="282" t="b">
        <f t="shared" si="64"/>
        <v>1</v>
      </c>
      <c r="AA218" s="282" t="b">
        <f t="shared" si="64"/>
        <v>1</v>
      </c>
      <c r="AB218" s="282" t="b">
        <f t="shared" si="64"/>
        <v>1</v>
      </c>
      <c r="AC218" s="282" t="b">
        <f t="shared" si="64"/>
        <v>1</v>
      </c>
      <c r="AD218" s="282" t="b">
        <f t="shared" si="64"/>
        <v>1</v>
      </c>
      <c r="AE218" s="282" t="b">
        <f t="shared" si="64"/>
        <v>1</v>
      </c>
      <c r="AF218" s="282" t="b">
        <f t="shared" si="64"/>
        <v>1</v>
      </c>
      <c r="AG218" s="282" t="b">
        <f t="shared" si="64"/>
        <v>1</v>
      </c>
      <c r="AH218" s="282" t="b">
        <f t="shared" si="64"/>
        <v>1</v>
      </c>
      <c r="AI218" s="282" t="b">
        <f t="shared" si="64"/>
        <v>1</v>
      </c>
      <c r="AJ218" s="282" t="b">
        <f t="shared" si="64"/>
        <v>1</v>
      </c>
      <c r="AK218" s="282" t="b">
        <f t="shared" si="64"/>
        <v>1</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x14ac:dyDescent="0.25">
      <c r="A219" s="278" t="s">
        <v>0</v>
      </c>
      <c r="C219" s="278">
        <v>6</v>
      </c>
      <c r="F219" s="282" t="b">
        <f t="shared" si="53"/>
        <v>1</v>
      </c>
      <c r="G219" s="282" t="b">
        <f t="shared" si="53"/>
        <v>0</v>
      </c>
      <c r="H219" s="282" t="b">
        <f t="shared" si="53"/>
        <v>1</v>
      </c>
      <c r="I219" s="282" t="b">
        <f t="shared" si="53"/>
        <v>0</v>
      </c>
      <c r="J219" s="282" t="b">
        <f t="shared" si="53"/>
        <v>0</v>
      </c>
      <c r="K219" s="282" t="b">
        <f t="shared" si="53"/>
        <v>0</v>
      </c>
      <c r="L219" s="282" t="b">
        <f t="shared" si="53"/>
        <v>0</v>
      </c>
      <c r="M219" s="282"/>
      <c r="N219" s="282" t="b">
        <f t="shared" si="54"/>
        <v>0</v>
      </c>
      <c r="O219" s="282" t="b">
        <f t="shared" si="54"/>
        <v>0</v>
      </c>
      <c r="P219" s="282" t="b">
        <f t="shared" si="54"/>
        <v>1</v>
      </c>
      <c r="Q219" s="282" t="b">
        <f t="shared" si="55"/>
        <v>1</v>
      </c>
      <c r="R219" s="282" t="b">
        <f t="shared" ref="R219:AP219" si="66">AND($BG15=FALSE,AND(R117&lt;&gt;"",R117=FALSE),R15="")</f>
        <v>1</v>
      </c>
      <c r="S219" s="282" t="b">
        <f t="shared" si="66"/>
        <v>1</v>
      </c>
      <c r="T219" s="282" t="b">
        <f t="shared" si="66"/>
        <v>1</v>
      </c>
      <c r="U219" s="282" t="b">
        <f t="shared" si="66"/>
        <v>1</v>
      </c>
      <c r="V219" s="282" t="b">
        <f t="shared" si="66"/>
        <v>1</v>
      </c>
      <c r="W219" s="282" t="b">
        <f t="shared" si="66"/>
        <v>1</v>
      </c>
      <c r="X219" s="282" t="b">
        <f t="shared" si="66"/>
        <v>1</v>
      </c>
      <c r="Y219" s="282" t="b">
        <f t="shared" si="66"/>
        <v>1</v>
      </c>
      <c r="Z219" s="282" t="b">
        <f t="shared" si="66"/>
        <v>1</v>
      </c>
      <c r="AA219" s="282" t="b">
        <f t="shared" si="66"/>
        <v>1</v>
      </c>
      <c r="AB219" s="282" t="b">
        <f t="shared" si="66"/>
        <v>1</v>
      </c>
      <c r="AC219" s="282" t="b">
        <f t="shared" si="66"/>
        <v>1</v>
      </c>
      <c r="AD219" s="282" t="b">
        <f t="shared" si="66"/>
        <v>1</v>
      </c>
      <c r="AE219" s="282" t="b">
        <f t="shared" si="66"/>
        <v>1</v>
      </c>
      <c r="AF219" s="282" t="b">
        <f t="shared" si="66"/>
        <v>1</v>
      </c>
      <c r="AG219" s="282" t="b">
        <f t="shared" si="66"/>
        <v>1</v>
      </c>
      <c r="AH219" s="282" t="b">
        <f t="shared" si="66"/>
        <v>1</v>
      </c>
      <c r="AI219" s="282" t="b">
        <f t="shared" si="66"/>
        <v>1</v>
      </c>
      <c r="AJ219" s="282" t="b">
        <f t="shared" si="66"/>
        <v>1</v>
      </c>
      <c r="AK219" s="282" t="b">
        <f t="shared" si="66"/>
        <v>1</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x14ac:dyDescent="0.25">
      <c r="A220" s="278" t="s">
        <v>0</v>
      </c>
      <c r="C220" s="278">
        <v>7</v>
      </c>
      <c r="F220" s="282" t="b">
        <f t="shared" si="53"/>
        <v>1</v>
      </c>
      <c r="G220" s="282" t="b">
        <f t="shared" si="53"/>
        <v>0</v>
      </c>
      <c r="H220" s="282" t="b">
        <f t="shared" si="53"/>
        <v>1</v>
      </c>
      <c r="I220" s="282" t="b">
        <f t="shared" si="53"/>
        <v>0</v>
      </c>
      <c r="J220" s="282" t="b">
        <f t="shared" si="53"/>
        <v>0</v>
      </c>
      <c r="K220" s="282" t="b">
        <f t="shared" si="53"/>
        <v>0</v>
      </c>
      <c r="L220" s="282" t="b">
        <f t="shared" si="53"/>
        <v>0</v>
      </c>
      <c r="M220" s="282"/>
      <c r="N220" s="282" t="b">
        <f t="shared" si="54"/>
        <v>0</v>
      </c>
      <c r="O220" s="282" t="b">
        <f t="shared" si="54"/>
        <v>0</v>
      </c>
      <c r="P220" s="282" t="b">
        <f t="shared" si="54"/>
        <v>1</v>
      </c>
      <c r="Q220" s="282" t="b">
        <f t="shared" si="55"/>
        <v>1</v>
      </c>
      <c r="R220" s="282" t="b">
        <f t="shared" ref="R220:AP220" si="68">AND($BG16=FALSE,AND(R118&lt;&gt;"",R118=FALSE),R16="")</f>
        <v>1</v>
      </c>
      <c r="S220" s="282" t="b">
        <f t="shared" si="68"/>
        <v>1</v>
      </c>
      <c r="T220" s="282" t="b">
        <f t="shared" si="68"/>
        <v>1</v>
      </c>
      <c r="U220" s="282" t="b">
        <f t="shared" si="68"/>
        <v>1</v>
      </c>
      <c r="V220" s="282" t="b">
        <f t="shared" si="68"/>
        <v>1</v>
      </c>
      <c r="W220" s="282" t="b">
        <f t="shared" si="68"/>
        <v>1</v>
      </c>
      <c r="X220" s="282" t="b">
        <f t="shared" si="68"/>
        <v>1</v>
      </c>
      <c r="Y220" s="282" t="b">
        <f t="shared" si="68"/>
        <v>1</v>
      </c>
      <c r="Z220" s="282" t="b">
        <f t="shared" si="68"/>
        <v>1</v>
      </c>
      <c r="AA220" s="282" t="b">
        <f t="shared" si="68"/>
        <v>1</v>
      </c>
      <c r="AB220" s="282" t="b">
        <f t="shared" si="68"/>
        <v>1</v>
      </c>
      <c r="AC220" s="282" t="b">
        <f t="shared" si="68"/>
        <v>1</v>
      </c>
      <c r="AD220" s="282" t="b">
        <f t="shared" si="68"/>
        <v>1</v>
      </c>
      <c r="AE220" s="282" t="b">
        <f t="shared" si="68"/>
        <v>1</v>
      </c>
      <c r="AF220" s="282" t="b">
        <f t="shared" si="68"/>
        <v>1</v>
      </c>
      <c r="AG220" s="282" t="b">
        <f t="shared" si="68"/>
        <v>1</v>
      </c>
      <c r="AH220" s="282" t="b">
        <f t="shared" si="68"/>
        <v>1</v>
      </c>
      <c r="AI220" s="282" t="b">
        <f t="shared" si="68"/>
        <v>1</v>
      </c>
      <c r="AJ220" s="282" t="b">
        <f t="shared" si="68"/>
        <v>1</v>
      </c>
      <c r="AK220" s="282" t="b">
        <f t="shared" si="68"/>
        <v>1</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x14ac:dyDescent="0.25">
      <c r="A221" s="278" t="s">
        <v>0</v>
      </c>
      <c r="C221" s="278">
        <v>8</v>
      </c>
      <c r="F221" s="282" t="b">
        <f t="shared" si="53"/>
        <v>1</v>
      </c>
      <c r="G221" s="282" t="b">
        <f t="shared" si="53"/>
        <v>0</v>
      </c>
      <c r="H221" s="282" t="b">
        <f t="shared" si="53"/>
        <v>1</v>
      </c>
      <c r="I221" s="282" t="b">
        <f t="shared" si="53"/>
        <v>0</v>
      </c>
      <c r="J221" s="282" t="b">
        <f t="shared" si="53"/>
        <v>0</v>
      </c>
      <c r="K221" s="282" t="b">
        <f t="shared" si="53"/>
        <v>0</v>
      </c>
      <c r="L221" s="282" t="b">
        <f t="shared" si="53"/>
        <v>0</v>
      </c>
      <c r="M221" s="282"/>
      <c r="N221" s="282" t="b">
        <f t="shared" si="54"/>
        <v>0</v>
      </c>
      <c r="O221" s="282" t="b">
        <f t="shared" si="54"/>
        <v>0</v>
      </c>
      <c r="P221" s="282" t="b">
        <f t="shared" si="54"/>
        <v>1</v>
      </c>
      <c r="Q221" s="282" t="b">
        <f t="shared" si="55"/>
        <v>1</v>
      </c>
      <c r="R221" s="282" t="b">
        <f t="shared" ref="R221:AP221" si="70">AND($BG17=FALSE,AND(R119&lt;&gt;"",R119=FALSE),R17="")</f>
        <v>1</v>
      </c>
      <c r="S221" s="282" t="b">
        <f t="shared" si="70"/>
        <v>1</v>
      </c>
      <c r="T221" s="282" t="b">
        <f t="shared" si="70"/>
        <v>1</v>
      </c>
      <c r="U221" s="282" t="b">
        <f t="shared" si="70"/>
        <v>1</v>
      </c>
      <c r="V221" s="282" t="b">
        <f t="shared" si="70"/>
        <v>1</v>
      </c>
      <c r="W221" s="282" t="b">
        <f t="shared" si="70"/>
        <v>1</v>
      </c>
      <c r="X221" s="282" t="b">
        <f t="shared" si="70"/>
        <v>1</v>
      </c>
      <c r="Y221" s="282" t="b">
        <f t="shared" si="70"/>
        <v>1</v>
      </c>
      <c r="Z221" s="282" t="b">
        <f t="shared" si="70"/>
        <v>1</v>
      </c>
      <c r="AA221" s="282" t="b">
        <f t="shared" si="70"/>
        <v>1</v>
      </c>
      <c r="AB221" s="282" t="b">
        <f t="shared" si="70"/>
        <v>1</v>
      </c>
      <c r="AC221" s="282" t="b">
        <f t="shared" si="70"/>
        <v>1</v>
      </c>
      <c r="AD221" s="282" t="b">
        <f t="shared" si="70"/>
        <v>1</v>
      </c>
      <c r="AE221" s="282" t="b">
        <f t="shared" si="70"/>
        <v>1</v>
      </c>
      <c r="AF221" s="282" t="b">
        <f t="shared" si="70"/>
        <v>1</v>
      </c>
      <c r="AG221" s="282" t="b">
        <f t="shared" si="70"/>
        <v>1</v>
      </c>
      <c r="AH221" s="282" t="b">
        <f t="shared" si="70"/>
        <v>1</v>
      </c>
      <c r="AI221" s="282" t="b">
        <f t="shared" si="70"/>
        <v>1</v>
      </c>
      <c r="AJ221" s="282" t="b">
        <f t="shared" si="70"/>
        <v>1</v>
      </c>
      <c r="AK221" s="282" t="b">
        <f t="shared" si="70"/>
        <v>1</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x14ac:dyDescent="0.25">
      <c r="A222" s="278" t="s">
        <v>0</v>
      </c>
      <c r="C222" s="278">
        <v>9</v>
      </c>
      <c r="F222" s="282" t="b">
        <f t="shared" si="53"/>
        <v>1</v>
      </c>
      <c r="G222" s="282" t="b">
        <f t="shared" si="53"/>
        <v>0</v>
      </c>
      <c r="H222" s="282" t="b">
        <f t="shared" si="53"/>
        <v>1</v>
      </c>
      <c r="I222" s="282" t="b">
        <f t="shared" si="53"/>
        <v>0</v>
      </c>
      <c r="J222" s="282" t="b">
        <f t="shared" si="53"/>
        <v>0</v>
      </c>
      <c r="K222" s="282" t="b">
        <f t="shared" si="53"/>
        <v>0</v>
      </c>
      <c r="L222" s="282" t="b">
        <f t="shared" si="53"/>
        <v>0</v>
      </c>
      <c r="M222" s="282"/>
      <c r="N222" s="282" t="b">
        <f t="shared" si="54"/>
        <v>0</v>
      </c>
      <c r="O222" s="282" t="b">
        <f t="shared" si="54"/>
        <v>0</v>
      </c>
      <c r="P222" s="282" t="b">
        <f t="shared" si="54"/>
        <v>1</v>
      </c>
      <c r="Q222" s="282" t="b">
        <f t="shared" si="55"/>
        <v>1</v>
      </c>
      <c r="R222" s="282" t="b">
        <f t="shared" ref="R222:AP222" si="72">AND($BG18=FALSE,AND(R120&lt;&gt;"",R120=FALSE),R18="")</f>
        <v>1</v>
      </c>
      <c r="S222" s="282" t="b">
        <f t="shared" si="72"/>
        <v>1</v>
      </c>
      <c r="T222" s="282" t="b">
        <f t="shared" si="72"/>
        <v>1</v>
      </c>
      <c r="U222" s="282" t="b">
        <f t="shared" si="72"/>
        <v>1</v>
      </c>
      <c r="V222" s="282" t="b">
        <f t="shared" si="72"/>
        <v>1</v>
      </c>
      <c r="W222" s="282" t="b">
        <f t="shared" si="72"/>
        <v>1</v>
      </c>
      <c r="X222" s="282" t="b">
        <f t="shared" si="72"/>
        <v>1</v>
      </c>
      <c r="Y222" s="282" t="b">
        <f t="shared" si="72"/>
        <v>1</v>
      </c>
      <c r="Z222" s="282" t="b">
        <f t="shared" si="72"/>
        <v>1</v>
      </c>
      <c r="AA222" s="282" t="b">
        <f t="shared" si="72"/>
        <v>1</v>
      </c>
      <c r="AB222" s="282" t="b">
        <f t="shared" si="72"/>
        <v>1</v>
      </c>
      <c r="AC222" s="282" t="b">
        <f t="shared" si="72"/>
        <v>1</v>
      </c>
      <c r="AD222" s="282" t="b">
        <f t="shared" si="72"/>
        <v>1</v>
      </c>
      <c r="AE222" s="282" t="b">
        <f t="shared" si="72"/>
        <v>1</v>
      </c>
      <c r="AF222" s="282" t="b">
        <f t="shared" si="72"/>
        <v>1</v>
      </c>
      <c r="AG222" s="282" t="b">
        <f t="shared" si="72"/>
        <v>1</v>
      </c>
      <c r="AH222" s="282" t="b">
        <f t="shared" si="72"/>
        <v>1</v>
      </c>
      <c r="AI222" s="282" t="b">
        <f t="shared" si="72"/>
        <v>1</v>
      </c>
      <c r="AJ222" s="282" t="b">
        <f t="shared" si="72"/>
        <v>1</v>
      </c>
      <c r="AK222" s="282" t="b">
        <f t="shared" si="72"/>
        <v>1</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x14ac:dyDescent="0.25">
      <c r="A223" s="278" t="s">
        <v>0</v>
      </c>
      <c r="C223" s="278">
        <v>10</v>
      </c>
      <c r="F223" s="282" t="b">
        <f t="shared" si="53"/>
        <v>1</v>
      </c>
      <c r="G223" s="282" t="b">
        <f t="shared" si="53"/>
        <v>0</v>
      </c>
      <c r="H223" s="282" t="b">
        <f t="shared" si="53"/>
        <v>1</v>
      </c>
      <c r="I223" s="282" t="b">
        <f t="shared" si="53"/>
        <v>0</v>
      </c>
      <c r="J223" s="282" t="b">
        <f t="shared" si="53"/>
        <v>0</v>
      </c>
      <c r="K223" s="282" t="b">
        <f t="shared" si="53"/>
        <v>0</v>
      </c>
      <c r="L223" s="282" t="b">
        <f t="shared" si="53"/>
        <v>0</v>
      </c>
      <c r="M223" s="282"/>
      <c r="N223" s="282" t="b">
        <f t="shared" si="54"/>
        <v>0</v>
      </c>
      <c r="O223" s="282" t="b">
        <f t="shared" si="54"/>
        <v>0</v>
      </c>
      <c r="P223" s="282" t="b">
        <f t="shared" si="54"/>
        <v>1</v>
      </c>
      <c r="Q223" s="282" t="b">
        <f t="shared" si="55"/>
        <v>1</v>
      </c>
      <c r="R223" s="282" t="b">
        <f t="shared" ref="R223:AP223" si="74">AND($BG19=FALSE,AND(R121&lt;&gt;"",R121=FALSE),R19="")</f>
        <v>1</v>
      </c>
      <c r="S223" s="282" t="b">
        <f t="shared" si="74"/>
        <v>1</v>
      </c>
      <c r="T223" s="282" t="b">
        <f t="shared" si="74"/>
        <v>1</v>
      </c>
      <c r="U223" s="282" t="b">
        <f t="shared" si="74"/>
        <v>1</v>
      </c>
      <c r="V223" s="282" t="b">
        <f t="shared" si="74"/>
        <v>1</v>
      </c>
      <c r="W223" s="282" t="b">
        <f t="shared" si="74"/>
        <v>1</v>
      </c>
      <c r="X223" s="282" t="b">
        <f t="shared" si="74"/>
        <v>1</v>
      </c>
      <c r="Y223" s="282" t="b">
        <f t="shared" si="74"/>
        <v>1</v>
      </c>
      <c r="Z223" s="282" t="b">
        <f t="shared" si="74"/>
        <v>1</v>
      </c>
      <c r="AA223" s="282" t="b">
        <f t="shared" si="74"/>
        <v>1</v>
      </c>
      <c r="AB223" s="282" t="b">
        <f t="shared" si="74"/>
        <v>1</v>
      </c>
      <c r="AC223" s="282" t="b">
        <f t="shared" si="74"/>
        <v>1</v>
      </c>
      <c r="AD223" s="282" t="b">
        <f t="shared" si="74"/>
        <v>1</v>
      </c>
      <c r="AE223" s="282" t="b">
        <f t="shared" si="74"/>
        <v>1</v>
      </c>
      <c r="AF223" s="282" t="b">
        <f t="shared" si="74"/>
        <v>1</v>
      </c>
      <c r="AG223" s="282" t="b">
        <f t="shared" si="74"/>
        <v>1</v>
      </c>
      <c r="AH223" s="282" t="b">
        <f t="shared" si="74"/>
        <v>1</v>
      </c>
      <c r="AI223" s="282" t="b">
        <f t="shared" si="74"/>
        <v>1</v>
      </c>
      <c r="AJ223" s="282" t="b">
        <f t="shared" si="74"/>
        <v>1</v>
      </c>
      <c r="AK223" s="282" t="b">
        <f t="shared" si="74"/>
        <v>1</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x14ac:dyDescent="0.25">
      <c r="A224" s="278" t="s">
        <v>0</v>
      </c>
      <c r="C224" s="278">
        <v>11</v>
      </c>
      <c r="F224" s="282" t="b">
        <f t="shared" ref="F224:L233" si="76">AND($BG20=FALSE,AND(F122&lt;&gt;"",F122=FALSE),F20="")</f>
        <v>1</v>
      </c>
      <c r="G224" s="282" t="b">
        <f t="shared" si="76"/>
        <v>0</v>
      </c>
      <c r="H224" s="282" t="b">
        <f t="shared" si="76"/>
        <v>1</v>
      </c>
      <c r="I224" s="282" t="b">
        <f t="shared" si="76"/>
        <v>0</v>
      </c>
      <c r="J224" s="282" t="b">
        <f t="shared" si="76"/>
        <v>0</v>
      </c>
      <c r="K224" s="282" t="b">
        <f t="shared" si="76"/>
        <v>0</v>
      </c>
      <c r="L224" s="282" t="b">
        <f t="shared" si="76"/>
        <v>0</v>
      </c>
      <c r="M224" s="282"/>
      <c r="N224" s="282" t="b">
        <f t="shared" si="54"/>
        <v>0</v>
      </c>
      <c r="O224" s="282" t="b">
        <f t="shared" si="54"/>
        <v>0</v>
      </c>
      <c r="P224" s="282" t="b">
        <f t="shared" si="54"/>
        <v>1</v>
      </c>
      <c r="Q224" s="282" t="b">
        <f t="shared" si="55"/>
        <v>1</v>
      </c>
      <c r="R224" s="282" t="b">
        <f t="shared" ref="R224:AP224" si="77">AND($BG20=FALSE,AND(R122&lt;&gt;"",R122=FALSE),R20="")</f>
        <v>1</v>
      </c>
      <c r="S224" s="282" t="b">
        <f t="shared" si="77"/>
        <v>1</v>
      </c>
      <c r="T224" s="282" t="b">
        <f t="shared" si="77"/>
        <v>1</v>
      </c>
      <c r="U224" s="282" t="b">
        <f t="shared" si="77"/>
        <v>1</v>
      </c>
      <c r="V224" s="282" t="b">
        <f t="shared" si="77"/>
        <v>1</v>
      </c>
      <c r="W224" s="282" t="b">
        <f t="shared" si="77"/>
        <v>1</v>
      </c>
      <c r="X224" s="282" t="b">
        <f t="shared" si="77"/>
        <v>1</v>
      </c>
      <c r="Y224" s="282" t="b">
        <f t="shared" si="77"/>
        <v>1</v>
      </c>
      <c r="Z224" s="282" t="b">
        <f t="shared" si="77"/>
        <v>1</v>
      </c>
      <c r="AA224" s="282" t="b">
        <f t="shared" si="77"/>
        <v>1</v>
      </c>
      <c r="AB224" s="282" t="b">
        <f t="shared" si="77"/>
        <v>1</v>
      </c>
      <c r="AC224" s="282" t="b">
        <f t="shared" si="77"/>
        <v>1</v>
      </c>
      <c r="AD224" s="282" t="b">
        <f t="shared" si="77"/>
        <v>1</v>
      </c>
      <c r="AE224" s="282" t="b">
        <f t="shared" si="77"/>
        <v>1</v>
      </c>
      <c r="AF224" s="282" t="b">
        <f t="shared" si="77"/>
        <v>1</v>
      </c>
      <c r="AG224" s="282" t="b">
        <f t="shared" si="77"/>
        <v>1</v>
      </c>
      <c r="AH224" s="282" t="b">
        <f t="shared" si="77"/>
        <v>1</v>
      </c>
      <c r="AI224" s="282" t="b">
        <f t="shared" si="77"/>
        <v>1</v>
      </c>
      <c r="AJ224" s="282" t="b">
        <f t="shared" si="77"/>
        <v>1</v>
      </c>
      <c r="AK224" s="282" t="b">
        <f t="shared" si="77"/>
        <v>1</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x14ac:dyDescent="0.25">
      <c r="A225" s="278" t="s">
        <v>0</v>
      </c>
      <c r="C225" s="278">
        <v>12</v>
      </c>
      <c r="F225" s="282" t="b">
        <f t="shared" si="76"/>
        <v>1</v>
      </c>
      <c r="G225" s="282" t="b">
        <f t="shared" si="76"/>
        <v>0</v>
      </c>
      <c r="H225" s="282" t="b">
        <f t="shared" si="76"/>
        <v>1</v>
      </c>
      <c r="I225" s="282" t="b">
        <f t="shared" si="76"/>
        <v>0</v>
      </c>
      <c r="J225" s="282" t="b">
        <f t="shared" si="76"/>
        <v>0</v>
      </c>
      <c r="K225" s="282" t="b">
        <f t="shared" si="76"/>
        <v>0</v>
      </c>
      <c r="L225" s="282" t="b">
        <f t="shared" si="76"/>
        <v>0</v>
      </c>
      <c r="M225" s="282"/>
      <c r="N225" s="282" t="b">
        <f t="shared" si="54"/>
        <v>0</v>
      </c>
      <c r="O225" s="282" t="b">
        <f t="shared" si="54"/>
        <v>0</v>
      </c>
      <c r="P225" s="282" t="b">
        <f t="shared" si="54"/>
        <v>1</v>
      </c>
      <c r="Q225" s="282" t="b">
        <f t="shared" si="55"/>
        <v>1</v>
      </c>
      <c r="R225" s="282" t="b">
        <f t="shared" ref="R225:AP225" si="79">AND($BG21=FALSE,AND(R123&lt;&gt;"",R123=FALSE),R21="")</f>
        <v>1</v>
      </c>
      <c r="S225" s="282" t="b">
        <f t="shared" si="79"/>
        <v>1</v>
      </c>
      <c r="T225" s="282" t="b">
        <f t="shared" si="79"/>
        <v>1</v>
      </c>
      <c r="U225" s="282" t="b">
        <f t="shared" si="79"/>
        <v>1</v>
      </c>
      <c r="V225" s="282" t="b">
        <f t="shared" si="79"/>
        <v>1</v>
      </c>
      <c r="W225" s="282" t="b">
        <f t="shared" si="79"/>
        <v>1</v>
      </c>
      <c r="X225" s="282" t="b">
        <f t="shared" si="79"/>
        <v>1</v>
      </c>
      <c r="Y225" s="282" t="b">
        <f t="shared" si="79"/>
        <v>1</v>
      </c>
      <c r="Z225" s="282" t="b">
        <f t="shared" si="79"/>
        <v>1</v>
      </c>
      <c r="AA225" s="282" t="b">
        <f t="shared" si="79"/>
        <v>1</v>
      </c>
      <c r="AB225" s="282" t="b">
        <f t="shared" si="79"/>
        <v>1</v>
      </c>
      <c r="AC225" s="282" t="b">
        <f t="shared" si="79"/>
        <v>1</v>
      </c>
      <c r="AD225" s="282" t="b">
        <f t="shared" si="79"/>
        <v>1</v>
      </c>
      <c r="AE225" s="282" t="b">
        <f t="shared" si="79"/>
        <v>1</v>
      </c>
      <c r="AF225" s="282" t="b">
        <f t="shared" si="79"/>
        <v>1</v>
      </c>
      <c r="AG225" s="282" t="b">
        <f t="shared" si="79"/>
        <v>1</v>
      </c>
      <c r="AH225" s="282" t="b">
        <f t="shared" si="79"/>
        <v>1</v>
      </c>
      <c r="AI225" s="282" t="b">
        <f t="shared" si="79"/>
        <v>1</v>
      </c>
      <c r="AJ225" s="282" t="b">
        <f t="shared" si="79"/>
        <v>1</v>
      </c>
      <c r="AK225" s="282" t="b">
        <f t="shared" si="79"/>
        <v>1</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x14ac:dyDescent="0.25">
      <c r="A226" s="278" t="s">
        <v>0</v>
      </c>
      <c r="C226" s="278">
        <v>13</v>
      </c>
      <c r="F226" s="282" t="b">
        <f t="shared" si="76"/>
        <v>1</v>
      </c>
      <c r="G226" s="282" t="b">
        <f t="shared" si="76"/>
        <v>0</v>
      </c>
      <c r="H226" s="282" t="b">
        <f t="shared" si="76"/>
        <v>1</v>
      </c>
      <c r="I226" s="282" t="b">
        <f t="shared" si="76"/>
        <v>0</v>
      </c>
      <c r="J226" s="282" t="b">
        <f t="shared" si="76"/>
        <v>0</v>
      </c>
      <c r="K226" s="282" t="b">
        <f t="shared" si="76"/>
        <v>0</v>
      </c>
      <c r="L226" s="282" t="b">
        <f t="shared" si="76"/>
        <v>0</v>
      </c>
      <c r="M226" s="282"/>
      <c r="N226" s="282" t="b">
        <f t="shared" si="54"/>
        <v>0</v>
      </c>
      <c r="O226" s="282" t="b">
        <f t="shared" si="54"/>
        <v>0</v>
      </c>
      <c r="P226" s="282" t="b">
        <f t="shared" si="54"/>
        <v>1</v>
      </c>
      <c r="Q226" s="282" t="b">
        <f t="shared" si="55"/>
        <v>1</v>
      </c>
      <c r="R226" s="282" t="b">
        <f t="shared" ref="R226:AP226" si="81">AND($BG22=FALSE,AND(R124&lt;&gt;"",R124=FALSE),R22="")</f>
        <v>1</v>
      </c>
      <c r="S226" s="282" t="b">
        <f t="shared" si="81"/>
        <v>1</v>
      </c>
      <c r="T226" s="282" t="b">
        <f t="shared" si="81"/>
        <v>1</v>
      </c>
      <c r="U226" s="282" t="b">
        <f t="shared" si="81"/>
        <v>1</v>
      </c>
      <c r="V226" s="282" t="b">
        <f t="shared" si="81"/>
        <v>1</v>
      </c>
      <c r="W226" s="282" t="b">
        <f t="shared" si="81"/>
        <v>1</v>
      </c>
      <c r="X226" s="282" t="b">
        <f t="shared" si="81"/>
        <v>1</v>
      </c>
      <c r="Y226" s="282" t="b">
        <f t="shared" si="81"/>
        <v>1</v>
      </c>
      <c r="Z226" s="282" t="b">
        <f t="shared" si="81"/>
        <v>1</v>
      </c>
      <c r="AA226" s="282" t="b">
        <f t="shared" si="81"/>
        <v>1</v>
      </c>
      <c r="AB226" s="282" t="b">
        <f t="shared" si="81"/>
        <v>1</v>
      </c>
      <c r="AC226" s="282" t="b">
        <f t="shared" si="81"/>
        <v>1</v>
      </c>
      <c r="AD226" s="282" t="b">
        <f t="shared" si="81"/>
        <v>1</v>
      </c>
      <c r="AE226" s="282" t="b">
        <f t="shared" si="81"/>
        <v>1</v>
      </c>
      <c r="AF226" s="282" t="b">
        <f t="shared" si="81"/>
        <v>1</v>
      </c>
      <c r="AG226" s="282" t="b">
        <f t="shared" si="81"/>
        <v>1</v>
      </c>
      <c r="AH226" s="282" t="b">
        <f t="shared" si="81"/>
        <v>1</v>
      </c>
      <c r="AI226" s="282" t="b">
        <f t="shared" si="81"/>
        <v>1</v>
      </c>
      <c r="AJ226" s="282" t="b">
        <f t="shared" si="81"/>
        <v>1</v>
      </c>
      <c r="AK226" s="282" t="b">
        <f t="shared" si="81"/>
        <v>1</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x14ac:dyDescent="0.25">
      <c r="A227" s="278" t="s">
        <v>0</v>
      </c>
      <c r="C227" s="278">
        <v>14</v>
      </c>
      <c r="F227" s="282" t="b">
        <f t="shared" si="76"/>
        <v>1</v>
      </c>
      <c r="G227" s="282" t="b">
        <f t="shared" si="76"/>
        <v>0</v>
      </c>
      <c r="H227" s="282" t="b">
        <f t="shared" si="76"/>
        <v>1</v>
      </c>
      <c r="I227" s="282" t="b">
        <f t="shared" si="76"/>
        <v>0</v>
      </c>
      <c r="J227" s="282" t="b">
        <f t="shared" si="76"/>
        <v>0</v>
      </c>
      <c r="K227" s="282" t="b">
        <f t="shared" si="76"/>
        <v>0</v>
      </c>
      <c r="L227" s="282" t="b">
        <f t="shared" si="76"/>
        <v>0</v>
      </c>
      <c r="M227" s="282"/>
      <c r="N227" s="282" t="b">
        <f t="shared" si="54"/>
        <v>0</v>
      </c>
      <c r="O227" s="282" t="b">
        <f t="shared" si="54"/>
        <v>0</v>
      </c>
      <c r="P227" s="282" t="b">
        <f t="shared" si="54"/>
        <v>1</v>
      </c>
      <c r="Q227" s="282" t="b">
        <f t="shared" si="55"/>
        <v>1</v>
      </c>
      <c r="R227" s="282" t="b">
        <f t="shared" ref="R227:AP227" si="83">AND($BG23=FALSE,AND(R125&lt;&gt;"",R125=FALSE),R23="")</f>
        <v>1</v>
      </c>
      <c r="S227" s="282" t="b">
        <f t="shared" si="83"/>
        <v>1</v>
      </c>
      <c r="T227" s="282" t="b">
        <f t="shared" si="83"/>
        <v>1</v>
      </c>
      <c r="U227" s="282" t="b">
        <f t="shared" si="83"/>
        <v>1</v>
      </c>
      <c r="V227" s="282" t="b">
        <f t="shared" si="83"/>
        <v>1</v>
      </c>
      <c r="W227" s="282" t="b">
        <f t="shared" si="83"/>
        <v>1</v>
      </c>
      <c r="X227" s="282" t="b">
        <f t="shared" si="83"/>
        <v>1</v>
      </c>
      <c r="Y227" s="282" t="b">
        <f t="shared" si="83"/>
        <v>1</v>
      </c>
      <c r="Z227" s="282" t="b">
        <f t="shared" si="83"/>
        <v>1</v>
      </c>
      <c r="AA227" s="282" t="b">
        <f t="shared" si="83"/>
        <v>1</v>
      </c>
      <c r="AB227" s="282" t="b">
        <f t="shared" si="83"/>
        <v>1</v>
      </c>
      <c r="AC227" s="282" t="b">
        <f t="shared" si="83"/>
        <v>1</v>
      </c>
      <c r="AD227" s="282" t="b">
        <f t="shared" si="83"/>
        <v>1</v>
      </c>
      <c r="AE227" s="282" t="b">
        <f t="shared" si="83"/>
        <v>1</v>
      </c>
      <c r="AF227" s="282" t="b">
        <f t="shared" si="83"/>
        <v>1</v>
      </c>
      <c r="AG227" s="282" t="b">
        <f t="shared" si="83"/>
        <v>1</v>
      </c>
      <c r="AH227" s="282" t="b">
        <f t="shared" si="83"/>
        <v>1</v>
      </c>
      <c r="AI227" s="282" t="b">
        <f t="shared" si="83"/>
        <v>1</v>
      </c>
      <c r="AJ227" s="282" t="b">
        <f t="shared" si="83"/>
        <v>1</v>
      </c>
      <c r="AK227" s="282" t="b">
        <f t="shared" si="83"/>
        <v>1</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x14ac:dyDescent="0.25">
      <c r="A228" s="278" t="s">
        <v>0</v>
      </c>
      <c r="C228" s="278">
        <v>15</v>
      </c>
      <c r="F228" s="282" t="b">
        <f t="shared" si="76"/>
        <v>1</v>
      </c>
      <c r="G228" s="282" t="b">
        <f t="shared" si="76"/>
        <v>0</v>
      </c>
      <c r="H228" s="282" t="b">
        <f t="shared" si="76"/>
        <v>1</v>
      </c>
      <c r="I228" s="282" t="b">
        <f t="shared" si="76"/>
        <v>0</v>
      </c>
      <c r="J228" s="282" t="b">
        <f t="shared" si="76"/>
        <v>0</v>
      </c>
      <c r="K228" s="282" t="b">
        <f t="shared" si="76"/>
        <v>0</v>
      </c>
      <c r="L228" s="282" t="b">
        <f t="shared" si="76"/>
        <v>0</v>
      </c>
      <c r="M228" s="282"/>
      <c r="N228" s="282" t="b">
        <f t="shared" si="54"/>
        <v>0</v>
      </c>
      <c r="O228" s="282" t="b">
        <f t="shared" si="54"/>
        <v>0</v>
      </c>
      <c r="P228" s="282" t="b">
        <f t="shared" si="54"/>
        <v>1</v>
      </c>
      <c r="Q228" s="282" t="b">
        <f t="shared" si="55"/>
        <v>1</v>
      </c>
      <c r="R228" s="282" t="b">
        <f t="shared" ref="R228:AP228" si="85">AND($BG24=FALSE,AND(R126&lt;&gt;"",R126=FALSE),R24="")</f>
        <v>1</v>
      </c>
      <c r="S228" s="282" t="b">
        <f t="shared" si="85"/>
        <v>1</v>
      </c>
      <c r="T228" s="282" t="b">
        <f t="shared" si="85"/>
        <v>1</v>
      </c>
      <c r="U228" s="282" t="b">
        <f t="shared" si="85"/>
        <v>1</v>
      </c>
      <c r="V228" s="282" t="b">
        <f t="shared" si="85"/>
        <v>1</v>
      </c>
      <c r="W228" s="282" t="b">
        <f t="shared" si="85"/>
        <v>1</v>
      </c>
      <c r="X228" s="282" t="b">
        <f t="shared" si="85"/>
        <v>1</v>
      </c>
      <c r="Y228" s="282" t="b">
        <f t="shared" si="85"/>
        <v>1</v>
      </c>
      <c r="Z228" s="282" t="b">
        <f t="shared" si="85"/>
        <v>1</v>
      </c>
      <c r="AA228" s="282" t="b">
        <f t="shared" si="85"/>
        <v>1</v>
      </c>
      <c r="AB228" s="282" t="b">
        <f t="shared" si="85"/>
        <v>1</v>
      </c>
      <c r="AC228" s="282" t="b">
        <f t="shared" si="85"/>
        <v>1</v>
      </c>
      <c r="AD228" s="282" t="b">
        <f t="shared" si="85"/>
        <v>1</v>
      </c>
      <c r="AE228" s="282" t="b">
        <f t="shared" si="85"/>
        <v>1</v>
      </c>
      <c r="AF228" s="282" t="b">
        <f t="shared" si="85"/>
        <v>1</v>
      </c>
      <c r="AG228" s="282" t="b">
        <f t="shared" si="85"/>
        <v>1</v>
      </c>
      <c r="AH228" s="282" t="b">
        <f t="shared" si="85"/>
        <v>1</v>
      </c>
      <c r="AI228" s="282" t="b">
        <f t="shared" si="85"/>
        <v>1</v>
      </c>
      <c r="AJ228" s="282" t="b">
        <f t="shared" si="85"/>
        <v>1</v>
      </c>
      <c r="AK228" s="282" t="b">
        <f t="shared" si="85"/>
        <v>1</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x14ac:dyDescent="0.25">
      <c r="A229" s="278" t="s">
        <v>0</v>
      </c>
      <c r="C229" s="278">
        <v>16</v>
      </c>
      <c r="F229" s="282" t="b">
        <f t="shared" si="76"/>
        <v>1</v>
      </c>
      <c r="G229" s="282" t="b">
        <f t="shared" si="76"/>
        <v>0</v>
      </c>
      <c r="H229" s="282" t="b">
        <f t="shared" si="76"/>
        <v>1</v>
      </c>
      <c r="I229" s="282" t="b">
        <f t="shared" si="76"/>
        <v>0</v>
      </c>
      <c r="J229" s="282" t="b">
        <f t="shared" si="76"/>
        <v>0</v>
      </c>
      <c r="K229" s="282" t="b">
        <f t="shared" si="76"/>
        <v>0</v>
      </c>
      <c r="L229" s="282" t="b">
        <f t="shared" si="76"/>
        <v>0</v>
      </c>
      <c r="M229" s="282"/>
      <c r="N229" s="282" t="b">
        <f t="shared" si="54"/>
        <v>0</v>
      </c>
      <c r="O229" s="282" t="b">
        <f t="shared" si="54"/>
        <v>0</v>
      </c>
      <c r="P229" s="282" t="b">
        <f t="shared" si="54"/>
        <v>1</v>
      </c>
      <c r="Q229" s="282" t="b">
        <f t="shared" si="55"/>
        <v>1</v>
      </c>
      <c r="R229" s="282" t="b">
        <f t="shared" ref="R229:AP229" si="87">AND($BG25=FALSE,AND(R127&lt;&gt;"",R127=FALSE),R25="")</f>
        <v>1</v>
      </c>
      <c r="S229" s="282" t="b">
        <f t="shared" si="87"/>
        <v>1</v>
      </c>
      <c r="T229" s="282" t="b">
        <f t="shared" si="87"/>
        <v>1</v>
      </c>
      <c r="U229" s="282" t="b">
        <f t="shared" si="87"/>
        <v>1</v>
      </c>
      <c r="V229" s="282" t="b">
        <f t="shared" si="87"/>
        <v>1</v>
      </c>
      <c r="W229" s="282" t="b">
        <f t="shared" si="87"/>
        <v>1</v>
      </c>
      <c r="X229" s="282" t="b">
        <f t="shared" si="87"/>
        <v>1</v>
      </c>
      <c r="Y229" s="282" t="b">
        <f t="shared" si="87"/>
        <v>1</v>
      </c>
      <c r="Z229" s="282" t="b">
        <f t="shared" si="87"/>
        <v>1</v>
      </c>
      <c r="AA229" s="282" t="b">
        <f t="shared" si="87"/>
        <v>1</v>
      </c>
      <c r="AB229" s="282" t="b">
        <f t="shared" si="87"/>
        <v>1</v>
      </c>
      <c r="AC229" s="282" t="b">
        <f t="shared" si="87"/>
        <v>1</v>
      </c>
      <c r="AD229" s="282" t="b">
        <f t="shared" si="87"/>
        <v>1</v>
      </c>
      <c r="AE229" s="282" t="b">
        <f t="shared" si="87"/>
        <v>1</v>
      </c>
      <c r="AF229" s="282" t="b">
        <f t="shared" si="87"/>
        <v>1</v>
      </c>
      <c r="AG229" s="282" t="b">
        <f t="shared" si="87"/>
        <v>1</v>
      </c>
      <c r="AH229" s="282" t="b">
        <f t="shared" si="87"/>
        <v>1</v>
      </c>
      <c r="AI229" s="282" t="b">
        <f t="shared" si="87"/>
        <v>1</v>
      </c>
      <c r="AJ229" s="282" t="b">
        <f t="shared" si="87"/>
        <v>1</v>
      </c>
      <c r="AK229" s="282" t="b">
        <f t="shared" si="87"/>
        <v>1</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x14ac:dyDescent="0.25">
      <c r="A230" s="278" t="s">
        <v>0</v>
      </c>
      <c r="C230" s="278">
        <v>17</v>
      </c>
      <c r="F230" s="282" t="b">
        <f t="shared" si="76"/>
        <v>1</v>
      </c>
      <c r="G230" s="282" t="b">
        <f t="shared" si="76"/>
        <v>0</v>
      </c>
      <c r="H230" s="282" t="b">
        <f t="shared" si="76"/>
        <v>1</v>
      </c>
      <c r="I230" s="282" t="b">
        <f t="shared" si="76"/>
        <v>0</v>
      </c>
      <c r="J230" s="282" t="b">
        <f t="shared" si="76"/>
        <v>0</v>
      </c>
      <c r="K230" s="282" t="b">
        <f t="shared" si="76"/>
        <v>0</v>
      </c>
      <c r="L230" s="282" t="b">
        <f t="shared" si="76"/>
        <v>0</v>
      </c>
      <c r="M230" s="282"/>
      <c r="N230" s="282" t="b">
        <f t="shared" si="54"/>
        <v>0</v>
      </c>
      <c r="O230" s="282" t="b">
        <f t="shared" si="54"/>
        <v>0</v>
      </c>
      <c r="P230" s="282" t="b">
        <f t="shared" si="54"/>
        <v>1</v>
      </c>
      <c r="Q230" s="282" t="b">
        <f t="shared" si="55"/>
        <v>1</v>
      </c>
      <c r="R230" s="282" t="b">
        <f t="shared" ref="R230:AP230" si="89">AND($BG26=FALSE,AND(R128&lt;&gt;"",R128=FALSE),R26="")</f>
        <v>1</v>
      </c>
      <c r="S230" s="282" t="b">
        <f t="shared" si="89"/>
        <v>1</v>
      </c>
      <c r="T230" s="282" t="b">
        <f t="shared" si="89"/>
        <v>1</v>
      </c>
      <c r="U230" s="282" t="b">
        <f t="shared" si="89"/>
        <v>1</v>
      </c>
      <c r="V230" s="282" t="b">
        <f t="shared" si="89"/>
        <v>1</v>
      </c>
      <c r="W230" s="282" t="b">
        <f t="shared" si="89"/>
        <v>1</v>
      </c>
      <c r="X230" s="282" t="b">
        <f t="shared" si="89"/>
        <v>1</v>
      </c>
      <c r="Y230" s="282" t="b">
        <f t="shared" si="89"/>
        <v>1</v>
      </c>
      <c r="Z230" s="282" t="b">
        <f t="shared" si="89"/>
        <v>1</v>
      </c>
      <c r="AA230" s="282" t="b">
        <f t="shared" si="89"/>
        <v>1</v>
      </c>
      <c r="AB230" s="282" t="b">
        <f t="shared" si="89"/>
        <v>1</v>
      </c>
      <c r="AC230" s="282" t="b">
        <f t="shared" si="89"/>
        <v>1</v>
      </c>
      <c r="AD230" s="282" t="b">
        <f t="shared" si="89"/>
        <v>1</v>
      </c>
      <c r="AE230" s="282" t="b">
        <f t="shared" si="89"/>
        <v>1</v>
      </c>
      <c r="AF230" s="282" t="b">
        <f t="shared" si="89"/>
        <v>1</v>
      </c>
      <c r="AG230" s="282" t="b">
        <f t="shared" si="89"/>
        <v>1</v>
      </c>
      <c r="AH230" s="282" t="b">
        <f t="shared" si="89"/>
        <v>1</v>
      </c>
      <c r="AI230" s="282" t="b">
        <f t="shared" si="89"/>
        <v>1</v>
      </c>
      <c r="AJ230" s="282" t="b">
        <f t="shared" si="89"/>
        <v>1</v>
      </c>
      <c r="AK230" s="282" t="b">
        <f t="shared" si="89"/>
        <v>1</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x14ac:dyDescent="0.25">
      <c r="A231" s="278" t="s">
        <v>0</v>
      </c>
      <c r="C231" s="278">
        <v>18</v>
      </c>
      <c r="F231" s="282" t="b">
        <f t="shared" si="76"/>
        <v>1</v>
      </c>
      <c r="G231" s="282" t="b">
        <f t="shared" si="76"/>
        <v>0</v>
      </c>
      <c r="H231" s="282" t="b">
        <f t="shared" si="76"/>
        <v>1</v>
      </c>
      <c r="I231" s="282" t="b">
        <f t="shared" si="76"/>
        <v>0</v>
      </c>
      <c r="J231" s="282" t="b">
        <f t="shared" si="76"/>
        <v>0</v>
      </c>
      <c r="K231" s="282" t="b">
        <f t="shared" si="76"/>
        <v>0</v>
      </c>
      <c r="L231" s="282" t="b">
        <f t="shared" si="76"/>
        <v>0</v>
      </c>
      <c r="M231" s="282"/>
      <c r="N231" s="282" t="b">
        <f t="shared" si="54"/>
        <v>0</v>
      </c>
      <c r="O231" s="282" t="b">
        <f t="shared" si="54"/>
        <v>0</v>
      </c>
      <c r="P231" s="282" t="b">
        <f t="shared" si="54"/>
        <v>1</v>
      </c>
      <c r="Q231" s="282" t="b">
        <f t="shared" si="55"/>
        <v>1</v>
      </c>
      <c r="R231" s="282" t="b">
        <f t="shared" ref="R231:AP231" si="91">AND($BG27=FALSE,AND(R129&lt;&gt;"",R129=FALSE),R27="")</f>
        <v>1</v>
      </c>
      <c r="S231" s="282" t="b">
        <f t="shared" si="91"/>
        <v>1</v>
      </c>
      <c r="T231" s="282" t="b">
        <f t="shared" si="91"/>
        <v>1</v>
      </c>
      <c r="U231" s="282" t="b">
        <f t="shared" si="91"/>
        <v>1</v>
      </c>
      <c r="V231" s="282" t="b">
        <f t="shared" si="91"/>
        <v>1</v>
      </c>
      <c r="W231" s="282" t="b">
        <f t="shared" si="91"/>
        <v>1</v>
      </c>
      <c r="X231" s="282" t="b">
        <f t="shared" si="91"/>
        <v>1</v>
      </c>
      <c r="Y231" s="282" t="b">
        <f t="shared" si="91"/>
        <v>1</v>
      </c>
      <c r="Z231" s="282" t="b">
        <f t="shared" si="91"/>
        <v>1</v>
      </c>
      <c r="AA231" s="282" t="b">
        <f t="shared" si="91"/>
        <v>1</v>
      </c>
      <c r="AB231" s="282" t="b">
        <f t="shared" si="91"/>
        <v>1</v>
      </c>
      <c r="AC231" s="282" t="b">
        <f t="shared" si="91"/>
        <v>1</v>
      </c>
      <c r="AD231" s="282" t="b">
        <f t="shared" si="91"/>
        <v>1</v>
      </c>
      <c r="AE231" s="282" t="b">
        <f t="shared" si="91"/>
        <v>1</v>
      </c>
      <c r="AF231" s="282" t="b">
        <f t="shared" si="91"/>
        <v>1</v>
      </c>
      <c r="AG231" s="282" t="b">
        <f t="shared" si="91"/>
        <v>1</v>
      </c>
      <c r="AH231" s="282" t="b">
        <f t="shared" si="91"/>
        <v>1</v>
      </c>
      <c r="AI231" s="282" t="b">
        <f t="shared" si="91"/>
        <v>1</v>
      </c>
      <c r="AJ231" s="282" t="b">
        <f t="shared" si="91"/>
        <v>1</v>
      </c>
      <c r="AK231" s="282" t="b">
        <f t="shared" si="91"/>
        <v>1</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x14ac:dyDescent="0.25">
      <c r="A232" s="278" t="s">
        <v>0</v>
      </c>
      <c r="C232" s="278">
        <v>19</v>
      </c>
      <c r="F232" s="282" t="b">
        <f t="shared" si="76"/>
        <v>1</v>
      </c>
      <c r="G232" s="282" t="b">
        <f t="shared" si="76"/>
        <v>0</v>
      </c>
      <c r="H232" s="282" t="b">
        <f t="shared" si="76"/>
        <v>1</v>
      </c>
      <c r="I232" s="282" t="b">
        <f t="shared" si="76"/>
        <v>0</v>
      </c>
      <c r="J232" s="282" t="b">
        <f t="shared" si="76"/>
        <v>0</v>
      </c>
      <c r="K232" s="282" t="b">
        <f t="shared" si="76"/>
        <v>0</v>
      </c>
      <c r="L232" s="282" t="b">
        <f t="shared" si="76"/>
        <v>0</v>
      </c>
      <c r="M232" s="282"/>
      <c r="N232" s="282" t="b">
        <f t="shared" si="54"/>
        <v>0</v>
      </c>
      <c r="O232" s="282" t="b">
        <f t="shared" si="54"/>
        <v>0</v>
      </c>
      <c r="P232" s="282" t="b">
        <f t="shared" si="54"/>
        <v>1</v>
      </c>
      <c r="Q232" s="282" t="b">
        <f t="shared" si="55"/>
        <v>1</v>
      </c>
      <c r="R232" s="282" t="b">
        <f t="shared" ref="R232:AP232" si="93">AND($BG28=FALSE,AND(R130&lt;&gt;"",R130=FALSE),R28="")</f>
        <v>1</v>
      </c>
      <c r="S232" s="282" t="b">
        <f t="shared" si="93"/>
        <v>1</v>
      </c>
      <c r="T232" s="282" t="b">
        <f t="shared" si="93"/>
        <v>1</v>
      </c>
      <c r="U232" s="282" t="b">
        <f t="shared" si="93"/>
        <v>1</v>
      </c>
      <c r="V232" s="282" t="b">
        <f t="shared" si="93"/>
        <v>1</v>
      </c>
      <c r="W232" s="282" t="b">
        <f t="shared" si="93"/>
        <v>1</v>
      </c>
      <c r="X232" s="282" t="b">
        <f t="shared" si="93"/>
        <v>1</v>
      </c>
      <c r="Y232" s="282" t="b">
        <f t="shared" si="93"/>
        <v>1</v>
      </c>
      <c r="Z232" s="282" t="b">
        <f t="shared" si="93"/>
        <v>1</v>
      </c>
      <c r="AA232" s="282" t="b">
        <f t="shared" si="93"/>
        <v>1</v>
      </c>
      <c r="AB232" s="282" t="b">
        <f t="shared" si="93"/>
        <v>1</v>
      </c>
      <c r="AC232" s="282" t="b">
        <f t="shared" si="93"/>
        <v>1</v>
      </c>
      <c r="AD232" s="282" t="b">
        <f t="shared" si="93"/>
        <v>1</v>
      </c>
      <c r="AE232" s="282" t="b">
        <f t="shared" si="93"/>
        <v>1</v>
      </c>
      <c r="AF232" s="282" t="b">
        <f t="shared" si="93"/>
        <v>1</v>
      </c>
      <c r="AG232" s="282" t="b">
        <f t="shared" si="93"/>
        <v>1</v>
      </c>
      <c r="AH232" s="282" t="b">
        <f t="shared" si="93"/>
        <v>1</v>
      </c>
      <c r="AI232" s="282" t="b">
        <f t="shared" si="93"/>
        <v>1</v>
      </c>
      <c r="AJ232" s="282" t="b">
        <f t="shared" si="93"/>
        <v>1</v>
      </c>
      <c r="AK232" s="282" t="b">
        <f t="shared" si="93"/>
        <v>1</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x14ac:dyDescent="0.25">
      <c r="A233" s="278" t="s">
        <v>0</v>
      </c>
      <c r="C233" s="278">
        <v>20</v>
      </c>
      <c r="F233" s="282" t="b">
        <f t="shared" si="76"/>
        <v>1</v>
      </c>
      <c r="G233" s="282" t="b">
        <f t="shared" si="76"/>
        <v>0</v>
      </c>
      <c r="H233" s="282" t="b">
        <f t="shared" si="76"/>
        <v>1</v>
      </c>
      <c r="I233" s="282" t="b">
        <f t="shared" si="76"/>
        <v>0</v>
      </c>
      <c r="J233" s="282" t="b">
        <f t="shared" si="76"/>
        <v>0</v>
      </c>
      <c r="K233" s="282" t="b">
        <f t="shared" si="76"/>
        <v>0</v>
      </c>
      <c r="L233" s="282" t="b">
        <f t="shared" si="76"/>
        <v>0</v>
      </c>
      <c r="M233" s="282"/>
      <c r="N233" s="282" t="b">
        <f t="shared" si="54"/>
        <v>0</v>
      </c>
      <c r="O233" s="282" t="b">
        <f t="shared" si="54"/>
        <v>0</v>
      </c>
      <c r="P233" s="282" t="b">
        <f t="shared" si="54"/>
        <v>1</v>
      </c>
      <c r="Q233" s="282" t="b">
        <f t="shared" si="55"/>
        <v>1</v>
      </c>
      <c r="R233" s="282" t="b">
        <f t="shared" ref="R233:AP233" si="95">AND($BG29=FALSE,AND(R131&lt;&gt;"",R131=FALSE),R29="")</f>
        <v>1</v>
      </c>
      <c r="S233" s="282" t="b">
        <f t="shared" si="95"/>
        <v>1</v>
      </c>
      <c r="T233" s="282" t="b">
        <f t="shared" si="95"/>
        <v>1</v>
      </c>
      <c r="U233" s="282" t="b">
        <f t="shared" si="95"/>
        <v>1</v>
      </c>
      <c r="V233" s="282" t="b">
        <f t="shared" si="95"/>
        <v>1</v>
      </c>
      <c r="W233" s="282" t="b">
        <f t="shared" si="95"/>
        <v>1</v>
      </c>
      <c r="X233" s="282" t="b">
        <f t="shared" si="95"/>
        <v>1</v>
      </c>
      <c r="Y233" s="282" t="b">
        <f t="shared" si="95"/>
        <v>1</v>
      </c>
      <c r="Z233" s="282" t="b">
        <f t="shared" si="95"/>
        <v>1</v>
      </c>
      <c r="AA233" s="282" t="b">
        <f t="shared" si="95"/>
        <v>1</v>
      </c>
      <c r="AB233" s="282" t="b">
        <f t="shared" si="95"/>
        <v>1</v>
      </c>
      <c r="AC233" s="282" t="b">
        <f t="shared" si="95"/>
        <v>1</v>
      </c>
      <c r="AD233" s="282" t="b">
        <f t="shared" si="95"/>
        <v>1</v>
      </c>
      <c r="AE233" s="282" t="b">
        <f t="shared" si="95"/>
        <v>1</v>
      </c>
      <c r="AF233" s="282" t="b">
        <f t="shared" si="95"/>
        <v>1</v>
      </c>
      <c r="AG233" s="282" t="b">
        <f t="shared" si="95"/>
        <v>1</v>
      </c>
      <c r="AH233" s="282" t="b">
        <f t="shared" si="95"/>
        <v>1</v>
      </c>
      <c r="AI233" s="282" t="b">
        <f t="shared" si="95"/>
        <v>1</v>
      </c>
      <c r="AJ233" s="282" t="b">
        <f t="shared" si="95"/>
        <v>1</v>
      </c>
      <c r="AK233" s="282" t="b">
        <f t="shared" si="95"/>
        <v>1</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x14ac:dyDescent="0.25">
      <c r="A234" s="278" t="s">
        <v>0</v>
      </c>
      <c r="C234" s="278">
        <v>21</v>
      </c>
      <c r="F234" s="282" t="b">
        <f t="shared" ref="F234:L243" si="97">AND($BG30=FALSE,AND(F132&lt;&gt;"",F132=FALSE),F30="")</f>
        <v>1</v>
      </c>
      <c r="G234" s="282" t="b">
        <f t="shared" si="97"/>
        <v>0</v>
      </c>
      <c r="H234" s="282" t="b">
        <f t="shared" si="97"/>
        <v>1</v>
      </c>
      <c r="I234" s="282" t="b">
        <f t="shared" si="97"/>
        <v>0</v>
      </c>
      <c r="J234" s="282" t="b">
        <f t="shared" si="97"/>
        <v>0</v>
      </c>
      <c r="K234" s="282" t="b">
        <f t="shared" si="97"/>
        <v>0</v>
      </c>
      <c r="L234" s="282" t="b">
        <f t="shared" si="97"/>
        <v>0</v>
      </c>
      <c r="M234" s="282"/>
      <c r="N234" s="282" t="b">
        <f t="shared" si="54"/>
        <v>0</v>
      </c>
      <c r="O234" s="282" t="b">
        <f t="shared" si="54"/>
        <v>0</v>
      </c>
      <c r="P234" s="282" t="b">
        <f t="shared" si="54"/>
        <v>1</v>
      </c>
      <c r="Q234" s="282" t="b">
        <f t="shared" si="55"/>
        <v>1</v>
      </c>
      <c r="R234" s="282" t="b">
        <f t="shared" ref="R234:AP234" si="98">AND($BG30=FALSE,AND(R132&lt;&gt;"",R132=FALSE),R30="")</f>
        <v>1</v>
      </c>
      <c r="S234" s="282" t="b">
        <f t="shared" si="98"/>
        <v>1</v>
      </c>
      <c r="T234" s="282" t="b">
        <f t="shared" si="98"/>
        <v>1</v>
      </c>
      <c r="U234" s="282" t="b">
        <f t="shared" si="98"/>
        <v>1</v>
      </c>
      <c r="V234" s="282" t="b">
        <f t="shared" si="98"/>
        <v>1</v>
      </c>
      <c r="W234" s="282" t="b">
        <f t="shared" si="98"/>
        <v>1</v>
      </c>
      <c r="X234" s="282" t="b">
        <f t="shared" si="98"/>
        <v>1</v>
      </c>
      <c r="Y234" s="282" t="b">
        <f t="shared" si="98"/>
        <v>1</v>
      </c>
      <c r="Z234" s="282" t="b">
        <f t="shared" si="98"/>
        <v>1</v>
      </c>
      <c r="AA234" s="282" t="b">
        <f t="shared" si="98"/>
        <v>1</v>
      </c>
      <c r="AB234" s="282" t="b">
        <f t="shared" si="98"/>
        <v>1</v>
      </c>
      <c r="AC234" s="282" t="b">
        <f t="shared" si="98"/>
        <v>1</v>
      </c>
      <c r="AD234" s="282" t="b">
        <f t="shared" si="98"/>
        <v>1</v>
      </c>
      <c r="AE234" s="282" t="b">
        <f t="shared" si="98"/>
        <v>1</v>
      </c>
      <c r="AF234" s="282" t="b">
        <f t="shared" si="98"/>
        <v>1</v>
      </c>
      <c r="AG234" s="282" t="b">
        <f t="shared" si="98"/>
        <v>1</v>
      </c>
      <c r="AH234" s="282" t="b">
        <f t="shared" si="98"/>
        <v>1</v>
      </c>
      <c r="AI234" s="282" t="b">
        <f t="shared" si="98"/>
        <v>1</v>
      </c>
      <c r="AJ234" s="282" t="b">
        <f t="shared" si="98"/>
        <v>1</v>
      </c>
      <c r="AK234" s="282" t="b">
        <f t="shared" si="98"/>
        <v>1</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x14ac:dyDescent="0.25">
      <c r="A235" s="278" t="s">
        <v>0</v>
      </c>
      <c r="C235" s="278">
        <v>22</v>
      </c>
      <c r="F235" s="282" t="b">
        <f t="shared" si="97"/>
        <v>1</v>
      </c>
      <c r="G235" s="282" t="b">
        <f t="shared" si="97"/>
        <v>0</v>
      </c>
      <c r="H235" s="282" t="b">
        <f t="shared" si="97"/>
        <v>1</v>
      </c>
      <c r="I235" s="282" t="b">
        <f t="shared" si="97"/>
        <v>0</v>
      </c>
      <c r="J235" s="282" t="b">
        <f t="shared" si="97"/>
        <v>0</v>
      </c>
      <c r="K235" s="282" t="b">
        <f t="shared" si="97"/>
        <v>0</v>
      </c>
      <c r="L235" s="282" t="b">
        <f t="shared" si="97"/>
        <v>0</v>
      </c>
      <c r="M235" s="282"/>
      <c r="N235" s="282" t="b">
        <f t="shared" si="54"/>
        <v>0</v>
      </c>
      <c r="O235" s="282" t="b">
        <f t="shared" si="54"/>
        <v>0</v>
      </c>
      <c r="P235" s="282" t="b">
        <f t="shared" si="54"/>
        <v>1</v>
      </c>
      <c r="Q235" s="282" t="b">
        <f t="shared" si="55"/>
        <v>1</v>
      </c>
      <c r="R235" s="282" t="b">
        <f t="shared" ref="R235:AP235" si="100">AND($BG31=FALSE,AND(R133&lt;&gt;"",R133=FALSE),R31="")</f>
        <v>1</v>
      </c>
      <c r="S235" s="282" t="b">
        <f t="shared" si="100"/>
        <v>1</v>
      </c>
      <c r="T235" s="282" t="b">
        <f t="shared" si="100"/>
        <v>1</v>
      </c>
      <c r="U235" s="282" t="b">
        <f t="shared" si="100"/>
        <v>1</v>
      </c>
      <c r="V235" s="282" t="b">
        <f t="shared" si="100"/>
        <v>1</v>
      </c>
      <c r="W235" s="282" t="b">
        <f t="shared" si="100"/>
        <v>1</v>
      </c>
      <c r="X235" s="282" t="b">
        <f t="shared" si="100"/>
        <v>1</v>
      </c>
      <c r="Y235" s="282" t="b">
        <f t="shared" si="100"/>
        <v>1</v>
      </c>
      <c r="Z235" s="282" t="b">
        <f t="shared" si="100"/>
        <v>1</v>
      </c>
      <c r="AA235" s="282" t="b">
        <f t="shared" si="100"/>
        <v>1</v>
      </c>
      <c r="AB235" s="282" t="b">
        <f t="shared" si="100"/>
        <v>1</v>
      </c>
      <c r="AC235" s="282" t="b">
        <f t="shared" si="100"/>
        <v>1</v>
      </c>
      <c r="AD235" s="282" t="b">
        <f t="shared" si="100"/>
        <v>1</v>
      </c>
      <c r="AE235" s="282" t="b">
        <f t="shared" si="100"/>
        <v>1</v>
      </c>
      <c r="AF235" s="282" t="b">
        <f t="shared" si="100"/>
        <v>1</v>
      </c>
      <c r="AG235" s="282" t="b">
        <f t="shared" si="100"/>
        <v>1</v>
      </c>
      <c r="AH235" s="282" t="b">
        <f t="shared" si="100"/>
        <v>1</v>
      </c>
      <c r="AI235" s="282" t="b">
        <f t="shared" si="100"/>
        <v>1</v>
      </c>
      <c r="AJ235" s="282" t="b">
        <f t="shared" si="100"/>
        <v>1</v>
      </c>
      <c r="AK235" s="282" t="b">
        <f t="shared" si="100"/>
        <v>1</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x14ac:dyDescent="0.25">
      <c r="A236" s="278" t="s">
        <v>0</v>
      </c>
      <c r="C236" s="278">
        <v>23</v>
      </c>
      <c r="F236" s="282" t="b">
        <f t="shared" si="97"/>
        <v>1</v>
      </c>
      <c r="G236" s="282" t="b">
        <f t="shared" si="97"/>
        <v>0</v>
      </c>
      <c r="H236" s="282" t="b">
        <f t="shared" si="97"/>
        <v>1</v>
      </c>
      <c r="I236" s="282" t="b">
        <f t="shared" si="97"/>
        <v>0</v>
      </c>
      <c r="J236" s="282" t="b">
        <f t="shared" si="97"/>
        <v>0</v>
      </c>
      <c r="K236" s="282" t="b">
        <f t="shared" si="97"/>
        <v>0</v>
      </c>
      <c r="L236" s="282" t="b">
        <f t="shared" si="97"/>
        <v>0</v>
      </c>
      <c r="M236" s="282"/>
      <c r="N236" s="282" t="b">
        <f t="shared" si="54"/>
        <v>0</v>
      </c>
      <c r="O236" s="282" t="b">
        <f t="shared" si="54"/>
        <v>0</v>
      </c>
      <c r="P236" s="282" t="b">
        <f t="shared" si="54"/>
        <v>1</v>
      </c>
      <c r="Q236" s="282" t="b">
        <f t="shared" si="55"/>
        <v>1</v>
      </c>
      <c r="R236" s="282" t="b">
        <f t="shared" ref="R236:AP236" si="102">AND($BG32=FALSE,AND(R134&lt;&gt;"",R134=FALSE),R32="")</f>
        <v>1</v>
      </c>
      <c r="S236" s="282" t="b">
        <f t="shared" si="102"/>
        <v>1</v>
      </c>
      <c r="T236" s="282" t="b">
        <f t="shared" si="102"/>
        <v>1</v>
      </c>
      <c r="U236" s="282" t="b">
        <f t="shared" si="102"/>
        <v>1</v>
      </c>
      <c r="V236" s="282" t="b">
        <f t="shared" si="102"/>
        <v>1</v>
      </c>
      <c r="W236" s="282" t="b">
        <f t="shared" si="102"/>
        <v>1</v>
      </c>
      <c r="X236" s="282" t="b">
        <f t="shared" si="102"/>
        <v>1</v>
      </c>
      <c r="Y236" s="282" t="b">
        <f t="shared" si="102"/>
        <v>1</v>
      </c>
      <c r="Z236" s="282" t="b">
        <f t="shared" si="102"/>
        <v>1</v>
      </c>
      <c r="AA236" s="282" t="b">
        <f t="shared" si="102"/>
        <v>1</v>
      </c>
      <c r="AB236" s="282" t="b">
        <f t="shared" si="102"/>
        <v>1</v>
      </c>
      <c r="AC236" s="282" t="b">
        <f t="shared" si="102"/>
        <v>1</v>
      </c>
      <c r="AD236" s="282" t="b">
        <f t="shared" si="102"/>
        <v>1</v>
      </c>
      <c r="AE236" s="282" t="b">
        <f t="shared" si="102"/>
        <v>1</v>
      </c>
      <c r="AF236" s="282" t="b">
        <f t="shared" si="102"/>
        <v>1</v>
      </c>
      <c r="AG236" s="282" t="b">
        <f t="shared" si="102"/>
        <v>1</v>
      </c>
      <c r="AH236" s="282" t="b">
        <f t="shared" si="102"/>
        <v>1</v>
      </c>
      <c r="AI236" s="282" t="b">
        <f t="shared" si="102"/>
        <v>1</v>
      </c>
      <c r="AJ236" s="282" t="b">
        <f t="shared" si="102"/>
        <v>1</v>
      </c>
      <c r="AK236" s="282" t="b">
        <f t="shared" si="102"/>
        <v>1</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x14ac:dyDescent="0.25">
      <c r="A237" s="278" t="s">
        <v>0</v>
      </c>
      <c r="C237" s="278">
        <v>24</v>
      </c>
      <c r="F237" s="282" t="b">
        <f t="shared" si="97"/>
        <v>1</v>
      </c>
      <c r="G237" s="282" t="b">
        <f t="shared" si="97"/>
        <v>0</v>
      </c>
      <c r="H237" s="282" t="b">
        <f t="shared" si="97"/>
        <v>1</v>
      </c>
      <c r="I237" s="282" t="b">
        <f t="shared" si="97"/>
        <v>0</v>
      </c>
      <c r="J237" s="282" t="b">
        <f t="shared" si="97"/>
        <v>0</v>
      </c>
      <c r="K237" s="282" t="b">
        <f t="shared" si="97"/>
        <v>0</v>
      </c>
      <c r="L237" s="282" t="b">
        <f t="shared" si="97"/>
        <v>0</v>
      </c>
      <c r="M237" s="282"/>
      <c r="N237" s="282" t="b">
        <f t="shared" si="54"/>
        <v>0</v>
      </c>
      <c r="O237" s="282" t="b">
        <f t="shared" si="54"/>
        <v>0</v>
      </c>
      <c r="P237" s="282" t="b">
        <f t="shared" si="54"/>
        <v>1</v>
      </c>
      <c r="Q237" s="282" t="b">
        <f t="shared" si="55"/>
        <v>1</v>
      </c>
      <c r="R237" s="282" t="b">
        <f t="shared" ref="R237:AP237" si="104">AND($BG33=FALSE,AND(R135&lt;&gt;"",R135=FALSE),R33="")</f>
        <v>1</v>
      </c>
      <c r="S237" s="282" t="b">
        <f t="shared" si="104"/>
        <v>1</v>
      </c>
      <c r="T237" s="282" t="b">
        <f t="shared" si="104"/>
        <v>1</v>
      </c>
      <c r="U237" s="282" t="b">
        <f t="shared" si="104"/>
        <v>1</v>
      </c>
      <c r="V237" s="282" t="b">
        <f t="shared" si="104"/>
        <v>1</v>
      </c>
      <c r="W237" s="282" t="b">
        <f t="shared" si="104"/>
        <v>1</v>
      </c>
      <c r="X237" s="282" t="b">
        <f t="shared" si="104"/>
        <v>1</v>
      </c>
      <c r="Y237" s="282" t="b">
        <f t="shared" si="104"/>
        <v>1</v>
      </c>
      <c r="Z237" s="282" t="b">
        <f t="shared" si="104"/>
        <v>1</v>
      </c>
      <c r="AA237" s="282" t="b">
        <f t="shared" si="104"/>
        <v>1</v>
      </c>
      <c r="AB237" s="282" t="b">
        <f t="shared" si="104"/>
        <v>1</v>
      </c>
      <c r="AC237" s="282" t="b">
        <f t="shared" si="104"/>
        <v>1</v>
      </c>
      <c r="AD237" s="282" t="b">
        <f t="shared" si="104"/>
        <v>1</v>
      </c>
      <c r="AE237" s="282" t="b">
        <f t="shared" si="104"/>
        <v>1</v>
      </c>
      <c r="AF237" s="282" t="b">
        <f t="shared" si="104"/>
        <v>1</v>
      </c>
      <c r="AG237" s="282" t="b">
        <f t="shared" si="104"/>
        <v>1</v>
      </c>
      <c r="AH237" s="282" t="b">
        <f t="shared" si="104"/>
        <v>1</v>
      </c>
      <c r="AI237" s="282" t="b">
        <f t="shared" si="104"/>
        <v>1</v>
      </c>
      <c r="AJ237" s="282" t="b">
        <f t="shared" si="104"/>
        <v>1</v>
      </c>
      <c r="AK237" s="282" t="b">
        <f t="shared" si="104"/>
        <v>1</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x14ac:dyDescent="0.25">
      <c r="A238" s="278" t="s">
        <v>0</v>
      </c>
      <c r="C238" s="278">
        <v>25</v>
      </c>
      <c r="F238" s="282" t="b">
        <f t="shared" si="97"/>
        <v>1</v>
      </c>
      <c r="G238" s="282" t="b">
        <f t="shared" si="97"/>
        <v>0</v>
      </c>
      <c r="H238" s="282" t="b">
        <f t="shared" si="97"/>
        <v>1</v>
      </c>
      <c r="I238" s="282" t="b">
        <f t="shared" si="97"/>
        <v>0</v>
      </c>
      <c r="J238" s="282" t="b">
        <f t="shared" si="97"/>
        <v>0</v>
      </c>
      <c r="K238" s="282" t="b">
        <f t="shared" si="97"/>
        <v>0</v>
      </c>
      <c r="L238" s="282" t="b">
        <f t="shared" si="97"/>
        <v>0</v>
      </c>
      <c r="M238" s="282"/>
      <c r="N238" s="282" t="b">
        <f t="shared" si="54"/>
        <v>0</v>
      </c>
      <c r="O238" s="282" t="b">
        <f t="shared" si="54"/>
        <v>0</v>
      </c>
      <c r="P238" s="282" t="b">
        <f t="shared" si="54"/>
        <v>1</v>
      </c>
      <c r="Q238" s="282" t="b">
        <f t="shared" si="55"/>
        <v>1</v>
      </c>
      <c r="R238" s="282" t="b">
        <f t="shared" ref="R238:AP238" si="106">AND($BG34=FALSE,AND(R136&lt;&gt;"",R136=FALSE),R34="")</f>
        <v>1</v>
      </c>
      <c r="S238" s="282" t="b">
        <f t="shared" si="106"/>
        <v>1</v>
      </c>
      <c r="T238" s="282" t="b">
        <f t="shared" si="106"/>
        <v>1</v>
      </c>
      <c r="U238" s="282" t="b">
        <f t="shared" si="106"/>
        <v>1</v>
      </c>
      <c r="V238" s="282" t="b">
        <f t="shared" si="106"/>
        <v>1</v>
      </c>
      <c r="W238" s="282" t="b">
        <f t="shared" si="106"/>
        <v>1</v>
      </c>
      <c r="X238" s="282" t="b">
        <f t="shared" si="106"/>
        <v>1</v>
      </c>
      <c r="Y238" s="282" t="b">
        <f t="shared" si="106"/>
        <v>1</v>
      </c>
      <c r="Z238" s="282" t="b">
        <f t="shared" si="106"/>
        <v>1</v>
      </c>
      <c r="AA238" s="282" t="b">
        <f t="shared" si="106"/>
        <v>1</v>
      </c>
      <c r="AB238" s="282" t="b">
        <f t="shared" si="106"/>
        <v>1</v>
      </c>
      <c r="AC238" s="282" t="b">
        <f t="shared" si="106"/>
        <v>1</v>
      </c>
      <c r="AD238" s="282" t="b">
        <f t="shared" si="106"/>
        <v>1</v>
      </c>
      <c r="AE238" s="282" t="b">
        <f t="shared" si="106"/>
        <v>1</v>
      </c>
      <c r="AF238" s="282" t="b">
        <f t="shared" si="106"/>
        <v>1</v>
      </c>
      <c r="AG238" s="282" t="b">
        <f t="shared" si="106"/>
        <v>1</v>
      </c>
      <c r="AH238" s="282" t="b">
        <f t="shared" si="106"/>
        <v>1</v>
      </c>
      <c r="AI238" s="282" t="b">
        <f t="shared" si="106"/>
        <v>1</v>
      </c>
      <c r="AJ238" s="282" t="b">
        <f t="shared" si="106"/>
        <v>1</v>
      </c>
      <c r="AK238" s="282" t="b">
        <f t="shared" si="106"/>
        <v>1</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x14ac:dyDescent="0.25">
      <c r="A239" s="278" t="s">
        <v>0</v>
      </c>
      <c r="C239" s="278">
        <v>26</v>
      </c>
      <c r="F239" s="282" t="b">
        <f t="shared" si="97"/>
        <v>1</v>
      </c>
      <c r="G239" s="282" t="b">
        <f t="shared" si="97"/>
        <v>0</v>
      </c>
      <c r="H239" s="282" t="b">
        <f t="shared" si="97"/>
        <v>1</v>
      </c>
      <c r="I239" s="282" t="b">
        <f t="shared" si="97"/>
        <v>0</v>
      </c>
      <c r="J239" s="282" t="b">
        <f t="shared" si="97"/>
        <v>0</v>
      </c>
      <c r="K239" s="282" t="b">
        <f t="shared" si="97"/>
        <v>0</v>
      </c>
      <c r="L239" s="282" t="b">
        <f t="shared" si="97"/>
        <v>0</v>
      </c>
      <c r="M239" s="282"/>
      <c r="N239" s="282" t="b">
        <f t="shared" si="54"/>
        <v>0</v>
      </c>
      <c r="O239" s="282" t="b">
        <f t="shared" si="54"/>
        <v>0</v>
      </c>
      <c r="P239" s="282" t="b">
        <f t="shared" si="54"/>
        <v>1</v>
      </c>
      <c r="Q239" s="282" t="b">
        <f t="shared" si="55"/>
        <v>1</v>
      </c>
      <c r="R239" s="282" t="b">
        <f t="shared" ref="R239:AP239" si="108">AND($BG35=FALSE,AND(R137&lt;&gt;"",R137=FALSE),R35="")</f>
        <v>1</v>
      </c>
      <c r="S239" s="282" t="b">
        <f t="shared" si="108"/>
        <v>1</v>
      </c>
      <c r="T239" s="282" t="b">
        <f t="shared" si="108"/>
        <v>1</v>
      </c>
      <c r="U239" s="282" t="b">
        <f t="shared" si="108"/>
        <v>1</v>
      </c>
      <c r="V239" s="282" t="b">
        <f t="shared" si="108"/>
        <v>1</v>
      </c>
      <c r="W239" s="282" t="b">
        <f t="shared" si="108"/>
        <v>1</v>
      </c>
      <c r="X239" s="282" t="b">
        <f t="shared" si="108"/>
        <v>1</v>
      </c>
      <c r="Y239" s="282" t="b">
        <f t="shared" si="108"/>
        <v>1</v>
      </c>
      <c r="Z239" s="282" t="b">
        <f t="shared" si="108"/>
        <v>1</v>
      </c>
      <c r="AA239" s="282" t="b">
        <f t="shared" si="108"/>
        <v>1</v>
      </c>
      <c r="AB239" s="282" t="b">
        <f t="shared" si="108"/>
        <v>1</v>
      </c>
      <c r="AC239" s="282" t="b">
        <f t="shared" si="108"/>
        <v>1</v>
      </c>
      <c r="AD239" s="282" t="b">
        <f t="shared" si="108"/>
        <v>1</v>
      </c>
      <c r="AE239" s="282" t="b">
        <f t="shared" si="108"/>
        <v>1</v>
      </c>
      <c r="AF239" s="282" t="b">
        <f t="shared" si="108"/>
        <v>1</v>
      </c>
      <c r="AG239" s="282" t="b">
        <f t="shared" si="108"/>
        <v>1</v>
      </c>
      <c r="AH239" s="282" t="b">
        <f t="shared" si="108"/>
        <v>1</v>
      </c>
      <c r="AI239" s="282" t="b">
        <f t="shared" si="108"/>
        <v>1</v>
      </c>
      <c r="AJ239" s="282" t="b">
        <f t="shared" si="108"/>
        <v>1</v>
      </c>
      <c r="AK239" s="282" t="b">
        <f t="shared" si="108"/>
        <v>1</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x14ac:dyDescent="0.25">
      <c r="A240" s="278" t="s">
        <v>0</v>
      </c>
      <c r="C240" s="278">
        <v>27</v>
      </c>
      <c r="F240" s="282" t="b">
        <f t="shared" si="97"/>
        <v>1</v>
      </c>
      <c r="G240" s="282" t="b">
        <f t="shared" si="97"/>
        <v>0</v>
      </c>
      <c r="H240" s="282" t="b">
        <f t="shared" si="97"/>
        <v>1</v>
      </c>
      <c r="I240" s="282" t="b">
        <f t="shared" si="97"/>
        <v>0</v>
      </c>
      <c r="J240" s="282" t="b">
        <f t="shared" si="97"/>
        <v>0</v>
      </c>
      <c r="K240" s="282" t="b">
        <f t="shared" si="97"/>
        <v>0</v>
      </c>
      <c r="L240" s="282" t="b">
        <f t="shared" si="97"/>
        <v>0</v>
      </c>
      <c r="M240" s="282"/>
      <c r="N240" s="282" t="b">
        <f t="shared" si="54"/>
        <v>0</v>
      </c>
      <c r="O240" s="282" t="b">
        <f t="shared" si="54"/>
        <v>0</v>
      </c>
      <c r="P240" s="282" t="b">
        <f t="shared" si="54"/>
        <v>1</v>
      </c>
      <c r="Q240" s="282" t="b">
        <f t="shared" si="55"/>
        <v>1</v>
      </c>
      <c r="R240" s="282" t="b">
        <f t="shared" ref="R240:AP240" si="110">AND($BG36=FALSE,AND(R138&lt;&gt;"",R138=FALSE),R36="")</f>
        <v>1</v>
      </c>
      <c r="S240" s="282" t="b">
        <f t="shared" si="110"/>
        <v>1</v>
      </c>
      <c r="T240" s="282" t="b">
        <f t="shared" si="110"/>
        <v>1</v>
      </c>
      <c r="U240" s="282" t="b">
        <f t="shared" si="110"/>
        <v>1</v>
      </c>
      <c r="V240" s="282" t="b">
        <f t="shared" si="110"/>
        <v>1</v>
      </c>
      <c r="W240" s="282" t="b">
        <f t="shared" si="110"/>
        <v>1</v>
      </c>
      <c r="X240" s="282" t="b">
        <f t="shared" si="110"/>
        <v>1</v>
      </c>
      <c r="Y240" s="282" t="b">
        <f t="shared" si="110"/>
        <v>1</v>
      </c>
      <c r="Z240" s="282" t="b">
        <f t="shared" si="110"/>
        <v>1</v>
      </c>
      <c r="AA240" s="282" t="b">
        <f t="shared" si="110"/>
        <v>1</v>
      </c>
      <c r="AB240" s="282" t="b">
        <f t="shared" si="110"/>
        <v>1</v>
      </c>
      <c r="AC240" s="282" t="b">
        <f t="shared" si="110"/>
        <v>1</v>
      </c>
      <c r="AD240" s="282" t="b">
        <f t="shared" si="110"/>
        <v>1</v>
      </c>
      <c r="AE240" s="282" t="b">
        <f t="shared" si="110"/>
        <v>1</v>
      </c>
      <c r="AF240" s="282" t="b">
        <f t="shared" si="110"/>
        <v>1</v>
      </c>
      <c r="AG240" s="282" t="b">
        <f t="shared" si="110"/>
        <v>1</v>
      </c>
      <c r="AH240" s="282" t="b">
        <f t="shared" si="110"/>
        <v>1</v>
      </c>
      <c r="AI240" s="282" t="b">
        <f t="shared" si="110"/>
        <v>1</v>
      </c>
      <c r="AJ240" s="282" t="b">
        <f t="shared" si="110"/>
        <v>1</v>
      </c>
      <c r="AK240" s="282" t="b">
        <f t="shared" si="110"/>
        <v>1</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x14ac:dyDescent="0.25">
      <c r="A241" s="278" t="s">
        <v>0</v>
      </c>
      <c r="C241" s="278">
        <v>28</v>
      </c>
      <c r="F241" s="282" t="b">
        <f t="shared" si="97"/>
        <v>1</v>
      </c>
      <c r="G241" s="282" t="b">
        <f t="shared" si="97"/>
        <v>0</v>
      </c>
      <c r="H241" s="282" t="b">
        <f t="shared" si="97"/>
        <v>1</v>
      </c>
      <c r="I241" s="282" t="b">
        <f t="shared" si="97"/>
        <v>0</v>
      </c>
      <c r="J241" s="282" t="b">
        <f t="shared" si="97"/>
        <v>0</v>
      </c>
      <c r="K241" s="282" t="b">
        <f t="shared" si="97"/>
        <v>0</v>
      </c>
      <c r="L241" s="282" t="b">
        <f t="shared" si="97"/>
        <v>0</v>
      </c>
      <c r="M241" s="282"/>
      <c r="N241" s="282" t="b">
        <f t="shared" si="54"/>
        <v>0</v>
      </c>
      <c r="O241" s="282" t="b">
        <f t="shared" si="54"/>
        <v>0</v>
      </c>
      <c r="P241" s="282" t="b">
        <f t="shared" si="54"/>
        <v>1</v>
      </c>
      <c r="Q241" s="282" t="b">
        <f t="shared" si="55"/>
        <v>1</v>
      </c>
      <c r="R241" s="282" t="b">
        <f t="shared" ref="R241:AP241" si="112">AND($BG37=FALSE,AND(R139&lt;&gt;"",R139=FALSE),R37="")</f>
        <v>1</v>
      </c>
      <c r="S241" s="282" t="b">
        <f t="shared" si="112"/>
        <v>1</v>
      </c>
      <c r="T241" s="282" t="b">
        <f t="shared" si="112"/>
        <v>1</v>
      </c>
      <c r="U241" s="282" t="b">
        <f t="shared" si="112"/>
        <v>1</v>
      </c>
      <c r="V241" s="282" t="b">
        <f t="shared" si="112"/>
        <v>1</v>
      </c>
      <c r="W241" s="282" t="b">
        <f t="shared" si="112"/>
        <v>1</v>
      </c>
      <c r="X241" s="282" t="b">
        <f t="shared" si="112"/>
        <v>1</v>
      </c>
      <c r="Y241" s="282" t="b">
        <f t="shared" si="112"/>
        <v>1</v>
      </c>
      <c r="Z241" s="282" t="b">
        <f t="shared" si="112"/>
        <v>1</v>
      </c>
      <c r="AA241" s="282" t="b">
        <f t="shared" si="112"/>
        <v>1</v>
      </c>
      <c r="AB241" s="282" t="b">
        <f t="shared" si="112"/>
        <v>1</v>
      </c>
      <c r="AC241" s="282" t="b">
        <f t="shared" si="112"/>
        <v>1</v>
      </c>
      <c r="AD241" s="282" t="b">
        <f t="shared" si="112"/>
        <v>1</v>
      </c>
      <c r="AE241" s="282" t="b">
        <f t="shared" si="112"/>
        <v>1</v>
      </c>
      <c r="AF241" s="282" t="b">
        <f t="shared" si="112"/>
        <v>1</v>
      </c>
      <c r="AG241" s="282" t="b">
        <f t="shared" si="112"/>
        <v>1</v>
      </c>
      <c r="AH241" s="282" t="b">
        <f t="shared" si="112"/>
        <v>1</v>
      </c>
      <c r="AI241" s="282" t="b">
        <f t="shared" si="112"/>
        <v>1</v>
      </c>
      <c r="AJ241" s="282" t="b">
        <f t="shared" si="112"/>
        <v>1</v>
      </c>
      <c r="AK241" s="282" t="b">
        <f t="shared" si="112"/>
        <v>1</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x14ac:dyDescent="0.25">
      <c r="A242" s="278" t="s">
        <v>0</v>
      </c>
      <c r="C242" s="278">
        <v>29</v>
      </c>
      <c r="F242" s="282" t="b">
        <f t="shared" si="97"/>
        <v>1</v>
      </c>
      <c r="G242" s="282" t="b">
        <f t="shared" si="97"/>
        <v>0</v>
      </c>
      <c r="H242" s="282" t="b">
        <f t="shared" si="97"/>
        <v>1</v>
      </c>
      <c r="I242" s="282" t="b">
        <f t="shared" si="97"/>
        <v>0</v>
      </c>
      <c r="J242" s="282" t="b">
        <f t="shared" si="97"/>
        <v>0</v>
      </c>
      <c r="K242" s="282" t="b">
        <f t="shared" si="97"/>
        <v>0</v>
      </c>
      <c r="L242" s="282" t="b">
        <f t="shared" si="97"/>
        <v>0</v>
      </c>
      <c r="M242" s="282"/>
      <c r="N242" s="282" t="b">
        <f t="shared" si="54"/>
        <v>0</v>
      </c>
      <c r="O242" s="282" t="b">
        <f t="shared" si="54"/>
        <v>0</v>
      </c>
      <c r="P242" s="282" t="b">
        <f t="shared" si="54"/>
        <v>1</v>
      </c>
      <c r="Q242" s="282" t="b">
        <f t="shared" si="55"/>
        <v>1</v>
      </c>
      <c r="R242" s="282" t="b">
        <f t="shared" ref="R242:AP242" si="114">AND($BG38=FALSE,AND(R140&lt;&gt;"",R140=FALSE),R38="")</f>
        <v>1</v>
      </c>
      <c r="S242" s="282" t="b">
        <f t="shared" si="114"/>
        <v>1</v>
      </c>
      <c r="T242" s="282" t="b">
        <f t="shared" si="114"/>
        <v>1</v>
      </c>
      <c r="U242" s="282" t="b">
        <f t="shared" si="114"/>
        <v>1</v>
      </c>
      <c r="V242" s="282" t="b">
        <f t="shared" si="114"/>
        <v>1</v>
      </c>
      <c r="W242" s="282" t="b">
        <f t="shared" si="114"/>
        <v>1</v>
      </c>
      <c r="X242" s="282" t="b">
        <f t="shared" si="114"/>
        <v>1</v>
      </c>
      <c r="Y242" s="282" t="b">
        <f t="shared" si="114"/>
        <v>1</v>
      </c>
      <c r="Z242" s="282" t="b">
        <f t="shared" si="114"/>
        <v>1</v>
      </c>
      <c r="AA242" s="282" t="b">
        <f t="shared" si="114"/>
        <v>1</v>
      </c>
      <c r="AB242" s="282" t="b">
        <f t="shared" si="114"/>
        <v>1</v>
      </c>
      <c r="AC242" s="282" t="b">
        <f t="shared" si="114"/>
        <v>1</v>
      </c>
      <c r="AD242" s="282" t="b">
        <f t="shared" si="114"/>
        <v>1</v>
      </c>
      <c r="AE242" s="282" t="b">
        <f t="shared" si="114"/>
        <v>1</v>
      </c>
      <c r="AF242" s="282" t="b">
        <f t="shared" si="114"/>
        <v>1</v>
      </c>
      <c r="AG242" s="282" t="b">
        <f t="shared" si="114"/>
        <v>1</v>
      </c>
      <c r="AH242" s="282" t="b">
        <f t="shared" si="114"/>
        <v>1</v>
      </c>
      <c r="AI242" s="282" t="b">
        <f t="shared" si="114"/>
        <v>1</v>
      </c>
      <c r="AJ242" s="282" t="b">
        <f t="shared" si="114"/>
        <v>1</v>
      </c>
      <c r="AK242" s="282" t="b">
        <f t="shared" si="114"/>
        <v>1</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x14ac:dyDescent="0.25">
      <c r="A243" s="278" t="s">
        <v>0</v>
      </c>
      <c r="C243" s="278">
        <v>30</v>
      </c>
      <c r="F243" s="282" t="b">
        <f t="shared" si="97"/>
        <v>1</v>
      </c>
      <c r="G243" s="282" t="b">
        <f t="shared" si="97"/>
        <v>0</v>
      </c>
      <c r="H243" s="282" t="b">
        <f t="shared" si="97"/>
        <v>1</v>
      </c>
      <c r="I243" s="282" t="b">
        <f t="shared" si="97"/>
        <v>0</v>
      </c>
      <c r="J243" s="282" t="b">
        <f t="shared" si="97"/>
        <v>0</v>
      </c>
      <c r="K243" s="282" t="b">
        <f t="shared" si="97"/>
        <v>0</v>
      </c>
      <c r="L243" s="282" t="b">
        <f t="shared" si="97"/>
        <v>0</v>
      </c>
      <c r="M243" s="282"/>
      <c r="N243" s="282" t="b">
        <f t="shared" si="54"/>
        <v>0</v>
      </c>
      <c r="O243" s="282" t="b">
        <f t="shared" si="54"/>
        <v>0</v>
      </c>
      <c r="P243" s="282" t="b">
        <f t="shared" si="54"/>
        <v>1</v>
      </c>
      <c r="Q243" s="282" t="b">
        <f t="shared" si="55"/>
        <v>1</v>
      </c>
      <c r="R243" s="282" t="b">
        <f t="shared" ref="R243:AP243" si="116">AND($BG39=FALSE,AND(R141&lt;&gt;"",R141=FALSE),R39="")</f>
        <v>1</v>
      </c>
      <c r="S243" s="282" t="b">
        <f t="shared" si="116"/>
        <v>1</v>
      </c>
      <c r="T243" s="282" t="b">
        <f t="shared" si="116"/>
        <v>1</v>
      </c>
      <c r="U243" s="282" t="b">
        <f t="shared" si="116"/>
        <v>1</v>
      </c>
      <c r="V243" s="282" t="b">
        <f t="shared" si="116"/>
        <v>1</v>
      </c>
      <c r="W243" s="282" t="b">
        <f t="shared" si="116"/>
        <v>1</v>
      </c>
      <c r="X243" s="282" t="b">
        <f t="shared" si="116"/>
        <v>1</v>
      </c>
      <c r="Y243" s="282" t="b">
        <f t="shared" si="116"/>
        <v>1</v>
      </c>
      <c r="Z243" s="282" t="b">
        <f t="shared" si="116"/>
        <v>1</v>
      </c>
      <c r="AA243" s="282" t="b">
        <f t="shared" si="116"/>
        <v>1</v>
      </c>
      <c r="AB243" s="282" t="b">
        <f t="shared" si="116"/>
        <v>1</v>
      </c>
      <c r="AC243" s="282" t="b">
        <f t="shared" si="116"/>
        <v>1</v>
      </c>
      <c r="AD243" s="282" t="b">
        <f t="shared" si="116"/>
        <v>1</v>
      </c>
      <c r="AE243" s="282" t="b">
        <f t="shared" si="116"/>
        <v>1</v>
      </c>
      <c r="AF243" s="282" t="b">
        <f t="shared" si="116"/>
        <v>1</v>
      </c>
      <c r="AG243" s="282" t="b">
        <f t="shared" si="116"/>
        <v>1</v>
      </c>
      <c r="AH243" s="282" t="b">
        <f t="shared" si="116"/>
        <v>1</v>
      </c>
      <c r="AI243" s="282" t="b">
        <f t="shared" si="116"/>
        <v>1</v>
      </c>
      <c r="AJ243" s="282" t="b">
        <f t="shared" si="116"/>
        <v>1</v>
      </c>
      <c r="AK243" s="282" t="b">
        <f t="shared" si="116"/>
        <v>1</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x14ac:dyDescent="0.25">
      <c r="A244" s="278" t="s">
        <v>0</v>
      </c>
      <c r="C244" s="278">
        <v>31</v>
      </c>
      <c r="F244" s="282" t="b">
        <f t="shared" ref="F244:L244" si="118">AND($BG40=FALSE,AND(F142&lt;&gt;"",F142=FALSE),F40="")</f>
        <v>1</v>
      </c>
      <c r="G244" s="282" t="b">
        <f t="shared" si="118"/>
        <v>0</v>
      </c>
      <c r="H244" s="282" t="b">
        <f t="shared" si="118"/>
        <v>1</v>
      </c>
      <c r="I244" s="282" t="b">
        <f t="shared" si="118"/>
        <v>0</v>
      </c>
      <c r="J244" s="282" t="b">
        <f t="shared" si="118"/>
        <v>0</v>
      </c>
      <c r="K244" s="282" t="b">
        <f t="shared" si="118"/>
        <v>0</v>
      </c>
      <c r="L244" s="282" t="b">
        <f t="shared" si="118"/>
        <v>0</v>
      </c>
      <c r="M244" s="282"/>
      <c r="N244" s="282" t="b">
        <f t="shared" si="54"/>
        <v>0</v>
      </c>
      <c r="O244" s="282" t="b">
        <f t="shared" si="54"/>
        <v>0</v>
      </c>
      <c r="P244" s="282" t="b">
        <f t="shared" si="54"/>
        <v>1</v>
      </c>
      <c r="Q244" s="282" t="b">
        <f t="shared" si="55"/>
        <v>1</v>
      </c>
      <c r="R244" s="282" t="b">
        <f t="shared" ref="R244:AP244" si="119">AND($BG40=FALSE,AND(R142&lt;&gt;"",R142=FALSE),R40="")</f>
        <v>1</v>
      </c>
      <c r="S244" s="282" t="b">
        <f t="shared" si="119"/>
        <v>1</v>
      </c>
      <c r="T244" s="282" t="b">
        <f t="shared" si="119"/>
        <v>1</v>
      </c>
      <c r="U244" s="282" t="b">
        <f t="shared" si="119"/>
        <v>1</v>
      </c>
      <c r="V244" s="282" t="b">
        <f t="shared" si="119"/>
        <v>1</v>
      </c>
      <c r="W244" s="282" t="b">
        <f t="shared" si="119"/>
        <v>1</v>
      </c>
      <c r="X244" s="282" t="b">
        <f t="shared" si="119"/>
        <v>1</v>
      </c>
      <c r="Y244" s="282" t="b">
        <f t="shared" si="119"/>
        <v>1</v>
      </c>
      <c r="Z244" s="282" t="b">
        <f t="shared" si="119"/>
        <v>1</v>
      </c>
      <c r="AA244" s="282" t="b">
        <f t="shared" si="119"/>
        <v>1</v>
      </c>
      <c r="AB244" s="282" t="b">
        <f t="shared" si="119"/>
        <v>1</v>
      </c>
      <c r="AC244" s="282" t="b">
        <f t="shared" si="119"/>
        <v>1</v>
      </c>
      <c r="AD244" s="282" t="b">
        <f t="shared" si="119"/>
        <v>1</v>
      </c>
      <c r="AE244" s="282" t="b">
        <f t="shared" si="119"/>
        <v>1</v>
      </c>
      <c r="AF244" s="282" t="b">
        <f t="shared" si="119"/>
        <v>1</v>
      </c>
      <c r="AG244" s="282" t="b">
        <f t="shared" si="119"/>
        <v>1</v>
      </c>
      <c r="AH244" s="282" t="b">
        <f t="shared" si="119"/>
        <v>1</v>
      </c>
      <c r="AI244" s="282" t="b">
        <f t="shared" si="119"/>
        <v>1</v>
      </c>
      <c r="AJ244" s="282" t="b">
        <f t="shared" si="119"/>
        <v>1</v>
      </c>
      <c r="AK244" s="282" t="b">
        <f t="shared" si="119"/>
        <v>1</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x14ac:dyDescent="0.25">
      <c r="A245" s="278" t="s">
        <v>0</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1</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x14ac:dyDescent="0.25">
      <c r="A246" s="278" t="s">
        <v>0</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1</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x14ac:dyDescent="0.25">
      <c r="A247" s="278" t="s">
        <v>0</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1</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x14ac:dyDescent="0.25">
      <c r="A248" s="278" t="s">
        <v>0</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1</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x14ac:dyDescent="0.25">
      <c r="A249" s="278" t="s">
        <v>0</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1</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x14ac:dyDescent="0.25">
      <c r="A250" s="278" t="s">
        <v>0</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1</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x14ac:dyDescent="0.25">
      <c r="A251" s="278" t="s">
        <v>0</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1</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x14ac:dyDescent="0.25">
      <c r="A252" s="278" t="s">
        <v>0</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1</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x14ac:dyDescent="0.25">
      <c r="A253" s="278" t="s">
        <v>0</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1</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x14ac:dyDescent="0.25">
      <c r="A254" s="278" t="s">
        <v>0</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1</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x14ac:dyDescent="0.25">
      <c r="A255" s="278" t="s">
        <v>0</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1</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x14ac:dyDescent="0.25">
      <c r="A256" s="278" t="s">
        <v>0</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1</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x14ac:dyDescent="0.25">
      <c r="A257" s="278" t="s">
        <v>0</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1</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x14ac:dyDescent="0.25">
      <c r="A258" s="278" t="s">
        <v>0</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1</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x14ac:dyDescent="0.25">
      <c r="A259" s="278" t="s">
        <v>0</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1</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x14ac:dyDescent="0.25">
      <c r="A260" s="278" t="s">
        <v>0</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1</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x14ac:dyDescent="0.25">
      <c r="A261" s="278" t="s">
        <v>0</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1</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x14ac:dyDescent="0.25">
      <c r="A262" s="278" t="s">
        <v>0</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1</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x14ac:dyDescent="0.25">
      <c r="A263" s="278" t="s">
        <v>0</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1</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x14ac:dyDescent="0.25">
      <c r="A264" s="278" t="s">
        <v>0</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1</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x14ac:dyDescent="0.25">
      <c r="A265" s="278" t="s">
        <v>0</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1</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x14ac:dyDescent="0.25">
      <c r="A266" s="278" t="s">
        <v>0</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1</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x14ac:dyDescent="0.25">
      <c r="A267" s="278" t="s">
        <v>0</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1</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x14ac:dyDescent="0.25">
      <c r="A268" s="278" t="s">
        <v>0</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1</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x14ac:dyDescent="0.25">
      <c r="A269" s="278" t="s">
        <v>0</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1</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x14ac:dyDescent="0.25">
      <c r="A270" s="278" t="s">
        <v>0</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1</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x14ac:dyDescent="0.25">
      <c r="A271" s="278" t="s">
        <v>0</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1</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x14ac:dyDescent="0.25">
      <c r="A272" s="278" t="s">
        <v>0</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1</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x14ac:dyDescent="0.25">
      <c r="A273" s="278" t="s">
        <v>0</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1</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x14ac:dyDescent="0.25">
      <c r="A274" s="278" t="s">
        <v>0</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1</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x14ac:dyDescent="0.25">
      <c r="A275" s="278" t="s">
        <v>0</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1</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x14ac:dyDescent="0.25">
      <c r="A276" s="278" t="s">
        <v>0</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1</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x14ac:dyDescent="0.25">
      <c r="A277" s="278" t="s">
        <v>0</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1</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x14ac:dyDescent="0.25">
      <c r="A278" s="278" t="s">
        <v>0</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1</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x14ac:dyDescent="0.25">
      <c r="A279" s="278" t="s">
        <v>0</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1</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x14ac:dyDescent="0.25">
      <c r="A280" s="278" t="s">
        <v>0</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1</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x14ac:dyDescent="0.25">
      <c r="A281" s="278" t="s">
        <v>0</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1</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x14ac:dyDescent="0.25">
      <c r="A282" s="278" t="s">
        <v>0</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1</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x14ac:dyDescent="0.25">
      <c r="A283" s="278" t="s">
        <v>0</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1</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x14ac:dyDescent="0.25">
      <c r="A284" s="278" t="s">
        <v>0</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1</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x14ac:dyDescent="0.25">
      <c r="A285" s="278" t="s">
        <v>0</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1</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x14ac:dyDescent="0.25">
      <c r="A286" s="278" t="s">
        <v>0</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1</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x14ac:dyDescent="0.25">
      <c r="A287" s="278" t="s">
        <v>0</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1</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x14ac:dyDescent="0.25">
      <c r="A288" s="278" t="s">
        <v>0</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1</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x14ac:dyDescent="0.25">
      <c r="A289" s="278" t="s">
        <v>0</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1</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x14ac:dyDescent="0.25">
      <c r="A290" s="278" t="s">
        <v>0</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1</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x14ac:dyDescent="0.25">
      <c r="A291" s="278" t="s">
        <v>0</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1</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x14ac:dyDescent="0.25">
      <c r="A292" s="278" t="s">
        <v>0</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1</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x14ac:dyDescent="0.25">
      <c r="A293" s="278" t="s">
        <v>0</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1</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x14ac:dyDescent="0.25">
      <c r="A294" s="278" t="s">
        <v>0</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1</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x14ac:dyDescent="0.25">
      <c r="A295" s="278" t="s">
        <v>0</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1</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x14ac:dyDescent="0.25">
      <c r="A296" s="278" t="s">
        <v>0</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1</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x14ac:dyDescent="0.25">
      <c r="A297" s="278" t="s">
        <v>0</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1</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x14ac:dyDescent="0.25">
      <c r="A298" s="278" t="s">
        <v>0</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1</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x14ac:dyDescent="0.25">
      <c r="A299" s="278" t="s">
        <v>0</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1</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x14ac:dyDescent="0.25">
      <c r="A300" s="278" t="s">
        <v>0</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1</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x14ac:dyDescent="0.25">
      <c r="A301" s="278" t="s">
        <v>0</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1</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x14ac:dyDescent="0.25">
      <c r="A302" s="278" t="s">
        <v>0</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1</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x14ac:dyDescent="0.25">
      <c r="A303" s="278" t="s">
        <v>0</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1</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x14ac:dyDescent="0.25">
      <c r="A304" s="278" t="s">
        <v>0</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1</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x14ac:dyDescent="0.25">
      <c r="A305" s="278" t="s">
        <v>0</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1</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x14ac:dyDescent="0.25">
      <c r="A306" s="278" t="s">
        <v>0</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1</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x14ac:dyDescent="0.25">
      <c r="A307" s="278" t="s">
        <v>0</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1</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x14ac:dyDescent="0.25">
      <c r="A308" s="278" t="s">
        <v>0</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1</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x14ac:dyDescent="0.25">
      <c r="A309" s="278" t="s">
        <v>0</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1</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x14ac:dyDescent="0.25">
      <c r="A310" s="278" t="s">
        <v>0</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1</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x14ac:dyDescent="0.25">
      <c r="A311" s="278" t="s">
        <v>0</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1</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x14ac:dyDescent="0.25">
      <c r="A312" s="278" t="s">
        <v>0</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1</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x14ac:dyDescent="0.25">
      <c r="A313" s="278" t="s">
        <v>0</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1</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x14ac:dyDescent="0.25">
      <c r="A314" s="278" t="s">
        <v>0</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phoneticPr fontId="68" type="noConversion"/>
  <conditionalFormatting sqref="B10:B109">
    <cfRule type="expression" dxfId="30" priority="4">
      <formula>$BI10=TRUE</formula>
    </cfRule>
    <cfRule type="expression" dxfId="29" priority="5">
      <formula>$BI10=CONST_NA</formula>
    </cfRule>
  </conditionalFormatting>
  <conditionalFormatting sqref="E11:BA109">
    <cfRule type="expression" dxfId="28" priority="2">
      <formula>$BG11</formula>
    </cfRule>
  </conditionalFormatting>
  <conditionalFormatting sqref="P10:AK109">
    <cfRule type="expression" dxfId="27" priority="7">
      <formula>P112</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2" zoomScaleNormal="100" workbookViewId="0">
      <selection activeCell="B2" sqref="B2:F2"/>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3" width="12.7109375" style="244" customWidth="1"/>
    <col min="54" max="66" width="11.42578125" style="278" hidden="1" customWidth="1"/>
    <col min="67" max="16384" width="11.42578125" style="244"/>
  </cols>
  <sheetData>
    <row r="1" spans="1:66" ht="12.75" hidden="1" thickBot="1" x14ac:dyDescent="0.3">
      <c r="A1" s="278" t="s">
        <v>0</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0</v>
      </c>
      <c r="BC1" s="278" t="s">
        <v>0</v>
      </c>
      <c r="BD1" s="278" t="s">
        <v>0</v>
      </c>
      <c r="BE1" s="278" t="s">
        <v>0</v>
      </c>
      <c r="BF1" s="278" t="s">
        <v>0</v>
      </c>
      <c r="BG1" s="278" t="s">
        <v>0</v>
      </c>
      <c r="BH1" s="278" t="s">
        <v>0</v>
      </c>
      <c r="BI1" s="278" t="s">
        <v>0</v>
      </c>
      <c r="BJ1" s="278" t="s">
        <v>0</v>
      </c>
      <c r="BK1" s="278" t="s">
        <v>0</v>
      </c>
      <c r="BL1" s="278" t="s">
        <v>0</v>
      </c>
      <c r="BM1" s="278" t="s">
        <v>0</v>
      </c>
      <c r="BN1" s="278" t="s">
        <v>0</v>
      </c>
    </row>
    <row r="2" spans="1:66" ht="15.75" customHeight="1" thickBot="1" x14ac:dyDescent="0.3">
      <c r="B2" s="1285" t="str">
        <f>Translations!$B$619</f>
        <v>Communication with reporting declarants</v>
      </c>
      <c r="C2" s="1286"/>
      <c r="D2" s="1286"/>
      <c r="E2" s="1286"/>
      <c r="F2" s="1287"/>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v>
      </c>
      <c r="BC2" s="93" t="str">
        <f>ADDRESS(ROW($B$2),COLUMN($B$2)) &amp; ":" &amp; ADDRESS(MATCH("PRINT",$AY:$AY,0),COLUMN($AY$2))</f>
        <v>$B$2:$AY$127</v>
      </c>
      <c r="BD2" s="89" t="s">
        <v>2</v>
      </c>
      <c r="BE2" s="102" t="str">
        <f ca="1">IF(ISERROR(CELL("filename",BF2)),"MSParameters",MID(CELL("filename",BF2),FIND("]",CELL("filename",BF2))+1,1024))</f>
        <v>Summary_Communication</v>
      </c>
    </row>
    <row r="3" spans="1:66" ht="5.0999999999999996" customHeight="1" x14ac:dyDescent="0.25">
      <c r="J3" s="375"/>
      <c r="M3" s="375"/>
      <c r="N3" s="375"/>
    </row>
    <row r="4" spans="1:66" ht="5.0999999999999996" customHeight="1" x14ac:dyDescent="0.2">
      <c r="C4" s="368"/>
      <c r="D4" s="1219"/>
      <c r="E4" s="1220"/>
      <c r="F4" s="1220"/>
      <c r="G4" s="1220"/>
      <c r="H4" s="1220"/>
      <c r="I4" s="1220"/>
      <c r="J4" s="1220"/>
      <c r="K4" s="1220"/>
      <c r="L4" s="1220"/>
      <c r="M4" s="1220"/>
      <c r="N4" s="375"/>
    </row>
    <row r="5" spans="1:66" ht="12.75" customHeight="1" x14ac:dyDescent="0.2">
      <c r="C5" s="368"/>
      <c r="D5" s="1107"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8"/>
      <c r="F5" s="1108"/>
      <c r="G5" s="1108"/>
      <c r="H5" s="1108"/>
      <c r="I5" s="1108"/>
      <c r="J5" s="1108"/>
      <c r="K5" s="1108"/>
      <c r="L5" s="1108"/>
      <c r="M5" s="1108"/>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x14ac:dyDescent="0.2">
      <c r="C6" s="368"/>
      <c r="D6" s="368"/>
      <c r="E6" s="368"/>
      <c r="F6" s="368"/>
      <c r="G6" s="368"/>
      <c r="H6" s="368"/>
      <c r="I6" s="368"/>
      <c r="J6" s="368"/>
      <c r="K6" s="368"/>
      <c r="L6" s="368"/>
      <c r="M6" s="368"/>
      <c r="N6" s="375"/>
    </row>
    <row r="7" spans="1:66" ht="5.0999999999999996" customHeight="1" x14ac:dyDescent="0.25">
      <c r="J7" s="375"/>
      <c r="M7" s="375"/>
      <c r="N7" s="375"/>
    </row>
    <row r="8" spans="1:66" ht="18" customHeight="1" x14ac:dyDescent="0.2">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x14ac:dyDescent="0.2">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x14ac:dyDescent="0.2">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x14ac:dyDescent="0.2">
      <c r="C11" s="91"/>
      <c r="D11" s="1288" t="s">
        <v>1359</v>
      </c>
      <c r="E11" s="1288"/>
      <c r="F11" s="1288"/>
      <c r="G11" s="900" t="s">
        <v>1360</v>
      </c>
      <c r="H11" s="849" t="s">
        <v>1331</v>
      </c>
      <c r="I11" s="850" t="s">
        <v>1361</v>
      </c>
      <c r="J11" s="897" t="s">
        <v>1362</v>
      </c>
      <c r="K11" s="897" t="s">
        <v>1363</v>
      </c>
      <c r="L11" s="897" t="s">
        <v>1364</v>
      </c>
      <c r="M11" s="897" t="s">
        <v>1365</v>
      </c>
      <c r="N11" s="897" t="s">
        <v>1366</v>
      </c>
      <c r="O11" s="897" t="s">
        <v>1367</v>
      </c>
      <c r="P11" s="849" t="s">
        <v>1353</v>
      </c>
      <c r="Q11" s="850" t="s">
        <v>1368</v>
      </c>
      <c r="R11" s="851" t="s">
        <v>1369</v>
      </c>
      <c r="S11" s="897">
        <v>1</v>
      </c>
      <c r="T11" s="897">
        <v>2</v>
      </c>
      <c r="U11" s="897">
        <v>3</v>
      </c>
      <c r="V11" s="897">
        <v>4</v>
      </c>
      <c r="W11" s="897">
        <v>5</v>
      </c>
      <c r="X11" s="897">
        <v>6</v>
      </c>
      <c r="Z11" s="1218" t="s">
        <v>1370</v>
      </c>
      <c r="AA11" s="1218"/>
      <c r="AB11" s="1218" t="s">
        <v>1371</v>
      </c>
      <c r="AC11" s="1218"/>
      <c r="AD11" s="1218" t="s">
        <v>1372</v>
      </c>
      <c r="AE11" s="1218"/>
      <c r="AF11" s="1218" t="s">
        <v>1373</v>
      </c>
      <c r="AG11" s="1218"/>
      <c r="AY11" s="12"/>
      <c r="AZ11" s="12"/>
      <c r="BA11" s="12"/>
      <c r="BB11" s="104"/>
      <c r="BC11" s="126"/>
      <c r="BD11" s="279"/>
      <c r="BE11" s="279"/>
      <c r="BF11" s="279"/>
    </row>
    <row r="12" spans="1:66" ht="12.75" customHeight="1" x14ac:dyDescent="0.2">
      <c r="C12" s="91"/>
      <c r="D12" s="138" t="s">
        <v>1374</v>
      </c>
      <c r="E12" s="682"/>
      <c r="F12" s="687"/>
      <c r="G12" s="430" t="str">
        <f>Summary_Processes!G10</f>
        <v/>
      </c>
      <c r="H12" s="428" t="str">
        <f>Summary_Processes!D20</f>
        <v>G1</v>
      </c>
      <c r="I12" s="430" t="str">
        <f>IF(Summary_Processes!E20="","",INDEX(Translations!$C:$C,MATCH(Summary_Processes!E20,Translations!$B:$B,0)))</f>
        <v/>
      </c>
      <c r="J12" s="880" t="str">
        <f>IF(Summary_Processes!G20="","",INDEX(Translations!$C:$C,MATCH(Summary_Processes!G20,Translations!$B:$B,0)))</f>
        <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
      </c>
      <c r="R12" s="430" t="str">
        <f>IF(Summary_Processes!F32="","",INDEX(Translations!$C:$C,MATCH(Summary_Processes!F32,Translations!$B:$B,0)))</f>
        <v/>
      </c>
      <c r="S12" s="880" t="str">
        <f>IF(Summary_Processes!G32="","",INDEX(Translations!$C:$C,MATCH(Summary_Processes!G32,Translations!$B:$B,0)))</f>
        <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89" t="str">
        <f>CONST_tCO2eq</f>
        <v>tCO2e</v>
      </c>
      <c r="AA12" s="1289"/>
      <c r="AB12" s="1289" t="str">
        <f>CONST_tCO2eq</f>
        <v>tCO2e</v>
      </c>
      <c r="AC12" s="1289"/>
      <c r="AD12" s="1289" t="str">
        <f>CONST_tCO2eq</f>
        <v>tCO2e</v>
      </c>
      <c r="AE12" s="1289"/>
      <c r="AF12" s="1289" t="str">
        <f>CONST_tCO2eq</f>
        <v>tCO2e</v>
      </c>
      <c r="AG12" s="1289"/>
      <c r="AY12" s="12"/>
      <c r="AZ12" s="12"/>
      <c r="BA12" s="12"/>
      <c r="BB12" s="104"/>
      <c r="BC12" s="126"/>
      <c r="BD12" s="279"/>
      <c r="BE12" s="279"/>
      <c r="BF12" s="279"/>
    </row>
    <row r="13" spans="1:66" ht="12.75" customHeight="1" x14ac:dyDescent="0.2">
      <c r="C13" s="91"/>
      <c r="D13" s="688" t="s">
        <v>1375</v>
      </c>
      <c r="E13" s="689"/>
      <c r="F13" s="690"/>
      <c r="G13" s="431" t="str">
        <f>Summary_Processes!G11</f>
        <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0" t="str">
        <f>'C_Emissions&amp;Energy'!H31</f>
        <v/>
      </c>
      <c r="AA13" s="1290"/>
      <c r="AB13" s="1290" t="str">
        <f>'C_Emissions&amp;Energy'!I31</f>
        <v/>
      </c>
      <c r="AC13" s="1290"/>
      <c r="AD13" s="1290" t="str">
        <f>'C_Emissions&amp;Energy'!J31</f>
        <v/>
      </c>
      <c r="AE13" s="1290"/>
      <c r="AF13" s="1290" t="str">
        <f>'C_Emissions&amp;Energy'!K31</f>
        <v/>
      </c>
      <c r="AG13" s="1290"/>
      <c r="AY13" s="12"/>
      <c r="AZ13" s="12"/>
      <c r="BA13" s="12"/>
      <c r="BB13" s="104"/>
      <c r="BC13" s="126"/>
      <c r="BD13" s="279"/>
      <c r="BE13" s="279"/>
      <c r="BF13" s="279"/>
    </row>
    <row r="14" spans="1:66" ht="12.75" customHeight="1" x14ac:dyDescent="0.2">
      <c r="C14" s="91"/>
      <c r="D14" s="688" t="s">
        <v>1376</v>
      </c>
      <c r="E14" s="689"/>
      <c r="F14" s="690"/>
      <c r="G14" s="431" t="str">
        <f>Summary_Processes!G12</f>
        <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x14ac:dyDescent="0.2">
      <c r="C15" s="91"/>
      <c r="D15" s="688" t="s">
        <v>1377</v>
      </c>
      <c r="E15" s="689"/>
      <c r="F15" s="690"/>
      <c r="G15" s="431" t="str">
        <f>A_InstData!S26</f>
        <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1378</v>
      </c>
      <c r="AA15" s="682"/>
      <c r="AB15" s="682"/>
      <c r="AC15" s="682"/>
      <c r="AD15" s="682"/>
      <c r="AE15" s="682"/>
      <c r="AF15" s="682"/>
      <c r="AG15" s="241" t="str">
        <f>CONST_tCO2eq</f>
        <v>tCO2e</v>
      </c>
      <c r="AH15" s="234" t="str">
        <f>'C_Emissions&amp;Energy'!L26</f>
        <v/>
      </c>
      <c r="AY15" s="12"/>
      <c r="AZ15" s="12"/>
      <c r="BA15" s="12"/>
      <c r="BB15" s="104"/>
      <c r="BC15" s="126"/>
      <c r="BD15" s="279"/>
      <c r="BE15" s="279"/>
      <c r="BF15" s="279"/>
    </row>
    <row r="16" spans="1:66" ht="12.75" customHeight="1" x14ac:dyDescent="0.2">
      <c r="C16" s="91"/>
      <c r="D16" s="688" t="s">
        <v>1379</v>
      </c>
      <c r="E16" s="689"/>
      <c r="F16" s="690"/>
      <c r="G16" s="431" t="str">
        <f>Summary_Processes!G14</f>
        <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1380</v>
      </c>
      <c r="AA16" s="689"/>
      <c r="AB16" s="689"/>
      <c r="AC16" s="689"/>
      <c r="AD16" s="689"/>
      <c r="AE16" s="689"/>
      <c r="AF16" s="689"/>
      <c r="AG16" s="699" t="str">
        <f>CONST_tCO2eq</f>
        <v>tCO2e</v>
      </c>
      <c r="AH16" s="236" t="str">
        <f>'C_Emissions&amp;Energy'!M26</f>
        <v/>
      </c>
      <c r="AY16" s="12"/>
      <c r="AZ16" s="12"/>
      <c r="BA16" s="12"/>
      <c r="BB16" s="104"/>
      <c r="BC16" s="126"/>
      <c r="BD16" s="279"/>
      <c r="BE16" s="279"/>
      <c r="BF16" s="279"/>
    </row>
    <row r="17" spans="1:66" ht="12.75" customHeight="1" x14ac:dyDescent="0.2">
      <c r="C17" s="91"/>
      <c r="D17" s="688" t="s">
        <v>1381</v>
      </c>
      <c r="E17" s="689"/>
      <c r="F17" s="690"/>
      <c r="G17" s="431" t="str">
        <f>Summary_Processes!G15</f>
        <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1382</v>
      </c>
      <c r="AA17" s="685"/>
      <c r="AB17" s="685"/>
      <c r="AC17" s="685"/>
      <c r="AD17" s="685"/>
      <c r="AE17" s="685"/>
      <c r="AF17" s="685"/>
      <c r="AG17" s="700" t="str">
        <f>CONST_tCO2eq</f>
        <v>tCO2e</v>
      </c>
      <c r="AH17" s="238" t="str">
        <f>'C_Emissions&amp;Energy'!N26</f>
        <v/>
      </c>
      <c r="AY17" s="12"/>
      <c r="AZ17" s="12"/>
      <c r="BA17" s="12"/>
      <c r="BB17" s="104"/>
      <c r="BC17" s="126"/>
      <c r="BD17" s="279"/>
      <c r="BE17" s="279"/>
      <c r="BF17" s="279"/>
    </row>
    <row r="18" spans="1:66" ht="12.75" customHeight="1" x14ac:dyDescent="0.2">
      <c r="C18" s="91"/>
      <c r="D18" s="141" t="s">
        <v>1383</v>
      </c>
      <c r="E18" s="685"/>
      <c r="F18" s="691"/>
      <c r="G18" s="432" t="str">
        <f>Summary_Processes!G16</f>
        <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x14ac:dyDescent="0.2">
      <c r="C19" s="91"/>
      <c r="D19" s="681" t="s">
        <v>1384</v>
      </c>
      <c r="E19" s="682"/>
      <c r="F19" s="683"/>
      <c r="G19" s="867" t="str">
        <f>Summary_Processes!L10</f>
        <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1385</v>
      </c>
      <c r="AA19" s="855"/>
      <c r="AB19" s="856"/>
      <c r="AC19" s="852" t="str">
        <f>IF('C_Emissions&amp;Energy'!H39="","",INDEX(Translations!$C:$C,MATCH('C_Emissions&amp;Energy'!H39,Translations!$B:$B,0)))</f>
        <v/>
      </c>
      <c r="AD19" s="853"/>
      <c r="AE19" s="853"/>
      <c r="AF19" s="853"/>
      <c r="AG19" s="853"/>
      <c r="AH19" s="854"/>
      <c r="AY19" s="12"/>
      <c r="AZ19" s="12"/>
      <c r="BA19" s="12"/>
      <c r="BB19" s="104"/>
      <c r="BC19" s="126"/>
      <c r="BD19" s="279"/>
      <c r="BE19" s="279"/>
      <c r="BF19" s="279"/>
    </row>
    <row r="20" spans="1:66" ht="12.75" customHeight="1" x14ac:dyDescent="0.2">
      <c r="D20" s="684" t="s">
        <v>1386</v>
      </c>
      <c r="E20" s="685"/>
      <c r="F20" s="686"/>
      <c r="G20" s="868" t="str">
        <f>Summary_Processes!L11</f>
        <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1387</v>
      </c>
      <c r="AA20" s="855"/>
      <c r="AB20" s="856"/>
      <c r="AC20" s="852" t="str">
        <f>IF('C_Emissions&amp;Energy'!H40="","",INDEX(Translations!$C:$C,MATCH('C_Emissions&amp;Energy'!H40,Translations!$B:$B,0)))</f>
        <v/>
      </c>
      <c r="AD20" s="853"/>
      <c r="AE20" s="853"/>
      <c r="AF20" s="853"/>
      <c r="AG20" s="853"/>
      <c r="AH20" s="854"/>
      <c r="AY20" s="12"/>
      <c r="AZ20" s="12"/>
      <c r="BA20" s="12"/>
      <c r="BB20" s="104"/>
      <c r="BC20" s="126"/>
      <c r="BD20" s="279"/>
      <c r="BE20" s="279"/>
      <c r="BF20" s="279"/>
    </row>
    <row r="21" spans="1:66" ht="12.75" customHeight="1" x14ac:dyDescent="0.2">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1388</v>
      </c>
      <c r="AA21" s="855"/>
      <c r="AB21" s="856"/>
      <c r="AC21" s="852" t="str">
        <f>IF('C_Emissions&amp;Energy'!H41="","",INDEX(Translations!$C:$C,MATCH('C_Emissions&amp;Energy'!H41,Translations!$B:$B,0)))</f>
        <v/>
      </c>
      <c r="AD21" s="853"/>
      <c r="AE21" s="853"/>
      <c r="AF21" s="853"/>
      <c r="AG21" s="853"/>
      <c r="AH21" s="854"/>
      <c r="AY21" s="12"/>
      <c r="AZ21" s="12"/>
      <c r="BA21" s="12"/>
      <c r="BB21" s="104"/>
      <c r="BC21" s="126"/>
      <c r="BD21" s="279"/>
      <c r="BE21" s="279"/>
      <c r="BF21" s="279"/>
    </row>
    <row r="22" spans="1:66"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x14ac:dyDescent="0.2">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x14ac:dyDescent="0.25">
      <c r="BC24" s="126"/>
      <c r="BD24" s="126"/>
      <c r="BE24" s="126"/>
      <c r="BF24" s="126"/>
      <c r="BG24" s="126"/>
      <c r="BH24" s="126"/>
      <c r="BI24" s="126"/>
      <c r="BJ24" s="126"/>
      <c r="BK24" s="126"/>
      <c r="BL24" s="126"/>
      <c r="BM24" s="126"/>
    </row>
    <row r="25" spans="1:66" s="280" customFormat="1" ht="63.75" x14ac:dyDescent="0.2">
      <c r="A25" s="279"/>
      <c r="D25" s="471" t="s">
        <v>1389</v>
      </c>
      <c r="E25" s="471" t="s">
        <v>1390</v>
      </c>
      <c r="F25" s="472" t="s">
        <v>1391</v>
      </c>
      <c r="G25" s="472" t="s">
        <v>1392</v>
      </c>
      <c r="H25" s="473" t="s">
        <v>1393</v>
      </c>
      <c r="I25" s="474" t="s">
        <v>1394</v>
      </c>
      <c r="J25" s="474" t="s">
        <v>1395</v>
      </c>
      <c r="K25" s="474" t="s">
        <v>1396</v>
      </c>
      <c r="L25" s="474" t="s">
        <v>1397</v>
      </c>
      <c r="M25" s="474" t="s">
        <v>1398</v>
      </c>
      <c r="N25" s="474" t="s">
        <v>1399</v>
      </c>
      <c r="O25" s="474" t="s">
        <v>1400</v>
      </c>
      <c r="P25" s="474" t="s">
        <v>1401</v>
      </c>
      <c r="Q25" s="474" t="s">
        <v>1402</v>
      </c>
      <c r="R25" s="474" t="s">
        <v>1403</v>
      </c>
      <c r="S25" s="474" t="s">
        <v>1404</v>
      </c>
      <c r="T25" s="474" t="s">
        <v>1405</v>
      </c>
      <c r="U25" s="474" t="s">
        <v>1406</v>
      </c>
      <c r="V25" s="474" t="s">
        <v>1407</v>
      </c>
      <c r="W25" s="474" t="s">
        <v>1408</v>
      </c>
      <c r="X25" s="474" t="s">
        <v>1409</v>
      </c>
      <c r="Y25" s="474" t="s">
        <v>1410</v>
      </c>
      <c r="Z25" s="474" t="s">
        <v>1411</v>
      </c>
      <c r="AA25" s="474" t="s">
        <v>1412</v>
      </c>
      <c r="AB25" s="474" t="s">
        <v>1413</v>
      </c>
      <c r="AC25" s="474" t="s">
        <v>1414</v>
      </c>
      <c r="AD25" s="474" t="s">
        <v>1415</v>
      </c>
      <c r="AE25" s="474" t="s">
        <v>1416</v>
      </c>
      <c r="AF25" s="474" t="s">
        <v>1417</v>
      </c>
      <c r="AG25" s="474" t="s">
        <v>1418</v>
      </c>
      <c r="AH25" s="474" t="s">
        <v>1419</v>
      </c>
      <c r="AI25" s="474" t="s">
        <v>1420</v>
      </c>
      <c r="AJ25" s="474" t="s">
        <v>1421</v>
      </c>
      <c r="AK25" s="474" t="s">
        <v>1422</v>
      </c>
      <c r="AL25" s="361" t="s">
        <v>1423</v>
      </c>
      <c r="AM25" s="474" t="s">
        <v>1424</v>
      </c>
      <c r="AN25" s="1280" t="s">
        <v>1425</v>
      </c>
      <c r="AO25" s="1281"/>
      <c r="AP25" s="899" t="s">
        <v>1426</v>
      </c>
      <c r="AQ25" s="1280" t="s">
        <v>1427</v>
      </c>
      <c r="AR25" s="1281"/>
      <c r="AS25" s="899" t="s">
        <v>1428</v>
      </c>
      <c r="AT25" s="899" t="s">
        <v>1429</v>
      </c>
      <c r="AU25" s="1280" t="s">
        <v>1430</v>
      </c>
      <c r="AV25" s="1281"/>
      <c r="AW25" s="1280" t="s">
        <v>1431</v>
      </c>
      <c r="AX25" s="1281"/>
      <c r="AY25" s="1280" t="s">
        <v>1432</v>
      </c>
      <c r="AZ25" s="1281"/>
      <c r="BB25" s="279"/>
      <c r="BC25" s="126"/>
      <c r="BD25" s="126"/>
      <c r="BE25" s="126"/>
      <c r="BF25" s="126"/>
      <c r="BG25" s="126"/>
      <c r="BH25" s="126"/>
      <c r="BI25" s="126"/>
      <c r="BJ25" s="126"/>
      <c r="BK25" s="126"/>
      <c r="BL25" s="126"/>
      <c r="BM25" s="126"/>
      <c r="BN25" s="279"/>
    </row>
    <row r="26" spans="1:66" ht="12.75" customHeight="1" x14ac:dyDescent="0.2">
      <c r="B26" s="280"/>
      <c r="C26" s="262">
        <v>1</v>
      </c>
      <c r="D26" s="672" t="str">
        <f>IF(Summary_Products!D10="","",Summary_Products!D10)</f>
        <v/>
      </c>
      <c r="E26" s="263" t="str">
        <f>IF(Summary_Products!E10="","",INDEX(Translations!$C:$C,MATCH(Summary_Products!E10,Translations!$B:$B,0)))</f>
        <v/>
      </c>
      <c r="F26" s="906" t="str">
        <f>IF(Summary_Products!F10="","",Summary_Products!F10)</f>
        <v/>
      </c>
      <c r="G26" s="483" t="str">
        <f>IF(F26="","",INDEX(Parameters_CNCodes!$H$4:$H$752,MATCH(F26,CNCodes_ListKey,0)))</f>
        <v/>
      </c>
      <c r="H26" s="672" t="str">
        <f>IF(Summary_Products!H10="","",Summary_Products!H10)</f>
        <v/>
      </c>
      <c r="I26" s="264" t="str">
        <f>IF(Summary_Products!I10="","",Summary_Products!I10)</f>
        <v/>
      </c>
      <c r="J26" s="264" t="str">
        <f>IF(Summary_Products!J10="","",Summary_Products!J10)</f>
        <v/>
      </c>
      <c r="K26" s="264" t="str">
        <f>IF(Summary_Products!K10="","",Summary_Products!K10)</f>
        <v/>
      </c>
      <c r="L26" s="264" t="str">
        <f>IF(Summary_Products!L10="","",Summary_Products!L10)</f>
        <v/>
      </c>
      <c r="M26" s="825" t="str">
        <f>IF(Summary_Products!M10="","",Summary_Products!M10)</f>
        <v/>
      </c>
      <c r="N26" s="264" t="str">
        <f>IF(Summary_Products!N10="","",Summary_Products!N10)</f>
        <v/>
      </c>
      <c r="O26" s="264" t="str">
        <f>IF(Summary_Products!O10="","",Summary_Products!O10)</f>
        <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t="str">
        <f>IF(Summary_Products!AN10="","",Summary_Products!AN10)</f>
        <v/>
      </c>
      <c r="AO26" s="477" t="str">
        <f>IF(Summary_Products!AO10="","",Summary_Products!AO10)</f>
        <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t="str">
        <f>IF(Summary_Products!AV10="","",Summary_Products!AV10)</f>
        <v/>
      </c>
      <c r="AV26" s="477" t="str">
        <f>IF(Summary_Products!AW10="","",Summary_Products!AW10)</f>
        <v/>
      </c>
      <c r="AW26" s="479" t="str">
        <f>IF(Summary_Products!AX10="","",Summary_Products!AX10)</f>
        <v/>
      </c>
      <c r="AX26" s="476" t="str">
        <f>IF(Summary_Products!AY10="","",Summary_Products!AY10)</f>
        <v/>
      </c>
      <c r="AY26" s="479" t="str">
        <f>IF(Summary_Products!AZ10="","",Summary_Products!AZ10)</f>
        <v/>
      </c>
      <c r="AZ26" s="475" t="str">
        <f>IF(Summary_Products!BA10="","",Summary_Products!BA10)</f>
        <v/>
      </c>
      <c r="BC26" s="126"/>
      <c r="BD26" s="126"/>
      <c r="BE26" s="126"/>
      <c r="BF26" s="126"/>
      <c r="BG26" s="126"/>
      <c r="BH26" s="126"/>
      <c r="BI26" s="126"/>
      <c r="BJ26" s="126"/>
      <c r="BK26" s="126"/>
      <c r="BL26" s="126"/>
      <c r="BM26" s="126"/>
    </row>
    <row r="27" spans="1:66" ht="12.75" customHeight="1" x14ac:dyDescent="0.2">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x14ac:dyDescent="0.2">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x14ac:dyDescent="0.2">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x14ac:dyDescent="0.2">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x14ac:dyDescent="0.2">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x14ac:dyDescent="0.2">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x14ac:dyDescent="0.2">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x14ac:dyDescent="0.2">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x14ac:dyDescent="0.2">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x14ac:dyDescent="0.2">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x14ac:dyDescent="0.2">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x14ac:dyDescent="0.2">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x14ac:dyDescent="0.2">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x14ac:dyDescent="0.2">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x14ac:dyDescent="0.2">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x14ac:dyDescent="0.2">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x14ac:dyDescent="0.2">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x14ac:dyDescent="0.2">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x14ac:dyDescent="0.2">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x14ac:dyDescent="0.2">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x14ac:dyDescent="0.2">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x14ac:dyDescent="0.2">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x14ac:dyDescent="0.2">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x14ac:dyDescent="0.2">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x14ac:dyDescent="0.2">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x14ac:dyDescent="0.2">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x14ac:dyDescent="0.2">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x14ac:dyDescent="0.2">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x14ac:dyDescent="0.2">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2.75" x14ac:dyDescent="0.2">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2.75" x14ac:dyDescent="0.2">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2.75" x14ac:dyDescent="0.2">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2.75" x14ac:dyDescent="0.2">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2.75" x14ac:dyDescent="0.2">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2.75" x14ac:dyDescent="0.2">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2.75" x14ac:dyDescent="0.2">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2.75" x14ac:dyDescent="0.2">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2.75" x14ac:dyDescent="0.2">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2.75" x14ac:dyDescent="0.2">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2.75" x14ac:dyDescent="0.2">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2.75" x14ac:dyDescent="0.2">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2.75" x14ac:dyDescent="0.2">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2.75" x14ac:dyDescent="0.2">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2.75" x14ac:dyDescent="0.2">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2.75" x14ac:dyDescent="0.2">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2.75" x14ac:dyDescent="0.2">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2.75" x14ac:dyDescent="0.2">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2.75" x14ac:dyDescent="0.2">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2.75" x14ac:dyDescent="0.2">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2.75" x14ac:dyDescent="0.2">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2.75" x14ac:dyDescent="0.2">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2.75" x14ac:dyDescent="0.2">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2.75" x14ac:dyDescent="0.2">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2.75" x14ac:dyDescent="0.2">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2.75" x14ac:dyDescent="0.2">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2.75" x14ac:dyDescent="0.2">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2.75" x14ac:dyDescent="0.2">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2.75" x14ac:dyDescent="0.2">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2.75" x14ac:dyDescent="0.2">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2.75" x14ac:dyDescent="0.2">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2.75" x14ac:dyDescent="0.2">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2.75" x14ac:dyDescent="0.2">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2.75" x14ac:dyDescent="0.2">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2.75" x14ac:dyDescent="0.2">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2.75" x14ac:dyDescent="0.2">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2.75" x14ac:dyDescent="0.2">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2.75" x14ac:dyDescent="0.2">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2.75" x14ac:dyDescent="0.2">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2.75" x14ac:dyDescent="0.2">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2.75" x14ac:dyDescent="0.2">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2.75" x14ac:dyDescent="0.2">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2.75" x14ac:dyDescent="0.2">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2.75" x14ac:dyDescent="0.2">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2.75" x14ac:dyDescent="0.2">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2.75" x14ac:dyDescent="0.2">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2.75" x14ac:dyDescent="0.2">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2.75" x14ac:dyDescent="0.2">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2.75" x14ac:dyDescent="0.2">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2.75" x14ac:dyDescent="0.2">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2.75" x14ac:dyDescent="0.2">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2.75" x14ac:dyDescent="0.2">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2.75" x14ac:dyDescent="0.2">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2.75" x14ac:dyDescent="0.2">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2.75" x14ac:dyDescent="0.2">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2.75" x14ac:dyDescent="0.2">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2.75" x14ac:dyDescent="0.2">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2.75" x14ac:dyDescent="0.2">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2.75" x14ac:dyDescent="0.2">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2.75" x14ac:dyDescent="0.2">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2.75" x14ac:dyDescent="0.2">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2.75" x14ac:dyDescent="0.2">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2.75" x14ac:dyDescent="0.2">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2.75" x14ac:dyDescent="0.2">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2.75" x14ac:dyDescent="0.2">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2.75" x14ac:dyDescent="0.2">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2.75" x14ac:dyDescent="0.2">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2.75" x14ac:dyDescent="0.2">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2.75" x14ac:dyDescent="0.2">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2.75" x14ac:dyDescent="0.2">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2.75" x14ac:dyDescent="0.25">
      <c r="BC126" s="126"/>
      <c r="BD126" s="126"/>
      <c r="BE126" s="126"/>
      <c r="BF126" s="126"/>
      <c r="BG126" s="126"/>
      <c r="BH126" s="126"/>
      <c r="BI126" s="126"/>
      <c r="BJ126" s="126"/>
      <c r="BK126" s="126"/>
      <c r="BL126" s="126"/>
      <c r="BM126" s="126"/>
    </row>
    <row r="127" spans="1:65" hidden="1" x14ac:dyDescent="0.25">
      <c r="A127" s="278" t="s">
        <v>0</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7</v>
      </c>
      <c r="AZ127" s="278"/>
      <c r="BA127" s="278"/>
    </row>
    <row r="128" spans="1:65" hidden="1" x14ac:dyDescent="0.25">
      <c r="A128" s="278" t="s">
        <v>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honeticPr fontId="68" type="noConversion"/>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23" hidden="1" customWidth="1"/>
    <col min="2" max="2" width="11.42578125" style="221"/>
    <col min="3" max="3" width="3.7109375" style="221" customWidth="1"/>
    <col min="4" max="4" width="15.7109375" style="221" customWidth="1"/>
    <col min="5" max="15" width="7.7109375" style="221" customWidth="1"/>
    <col min="16" max="42" width="8.7109375" style="221" customWidth="1"/>
    <col min="43" max="43" width="11.42578125" style="223" hidden="1" customWidth="1"/>
    <col min="44" max="74" width="5.7109375" style="223" hidden="1" customWidth="1"/>
    <col min="75" max="16384" width="11.42578125" style="221"/>
  </cols>
  <sheetData>
    <row r="1" spans="1:74" s="223" customFormat="1" ht="12.75" hidden="1" customHeight="1" x14ac:dyDescent="0.25">
      <c r="A1" s="223" t="s">
        <v>0</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0</v>
      </c>
      <c r="AR1" s="223" t="s">
        <v>0</v>
      </c>
      <c r="AS1" s="223" t="s">
        <v>0</v>
      </c>
      <c r="AT1" s="223" t="s">
        <v>0</v>
      </c>
      <c r="AU1" s="223" t="s">
        <v>0</v>
      </c>
      <c r="AV1" s="223" t="s">
        <v>0</v>
      </c>
      <c r="AW1" s="223" t="s">
        <v>0</v>
      </c>
      <c r="AX1" s="223" t="s">
        <v>0</v>
      </c>
      <c r="AY1" s="223" t="s">
        <v>0</v>
      </c>
      <c r="AZ1" s="223" t="s">
        <v>0</v>
      </c>
      <c r="BA1" s="223" t="s">
        <v>0</v>
      </c>
      <c r="BB1" s="223" t="s">
        <v>0</v>
      </c>
      <c r="BC1" s="223" t="s">
        <v>0</v>
      </c>
      <c r="BD1" s="223" t="s">
        <v>0</v>
      </c>
      <c r="BE1" s="223" t="s">
        <v>0</v>
      </c>
      <c r="BF1" s="223" t="s">
        <v>0</v>
      </c>
      <c r="BG1" s="223" t="s">
        <v>0</v>
      </c>
      <c r="BH1" s="223" t="s">
        <v>0</v>
      </c>
      <c r="BI1" s="223" t="s">
        <v>0</v>
      </c>
      <c r="BJ1" s="223" t="s">
        <v>0</v>
      </c>
      <c r="BK1" s="223" t="s">
        <v>0</v>
      </c>
      <c r="BL1" s="223" t="s">
        <v>0</v>
      </c>
      <c r="BM1" s="223" t="s">
        <v>0</v>
      </c>
      <c r="BN1" s="223" t="s">
        <v>0</v>
      </c>
      <c r="BO1" s="223" t="s">
        <v>0</v>
      </c>
      <c r="BP1" s="223" t="s">
        <v>0</v>
      </c>
      <c r="BQ1" s="223" t="s">
        <v>0</v>
      </c>
      <c r="BR1" s="223" t="s">
        <v>0</v>
      </c>
      <c r="BS1" s="223" t="s">
        <v>0</v>
      </c>
      <c r="BT1" s="223" t="s">
        <v>0</v>
      </c>
      <c r="BU1" s="223" t="s">
        <v>0</v>
      </c>
      <c r="BV1" s="223" t="s">
        <v>0</v>
      </c>
    </row>
    <row r="2" spans="1:74" ht="12.75" customHeight="1" x14ac:dyDescent="0.25">
      <c r="E2" s="222"/>
      <c r="F2" s="222"/>
      <c r="G2" s="222"/>
      <c r="H2" s="222"/>
      <c r="I2" s="222"/>
      <c r="J2" s="222"/>
      <c r="K2" s="222"/>
      <c r="L2" s="222"/>
      <c r="M2" s="222"/>
      <c r="N2" s="222"/>
      <c r="O2" s="222"/>
    </row>
    <row r="3" spans="1:74" ht="12.75" customHeight="1" x14ac:dyDescent="0.25">
      <c r="D3" s="1291" t="str">
        <f>Translations!$B$627</f>
        <v>This is a hidden sheet for the calculation of the embedded emissions along the whole supply chain, including any relevant precursors produced within the same installation, or purchased from other installations.</v>
      </c>
      <c r="E3" s="1291"/>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1"/>
      <c r="AH3" s="1291"/>
    </row>
    <row r="4" spans="1:74" ht="12.75" customHeight="1" x14ac:dyDescent="0.25">
      <c r="E4" s="222"/>
      <c r="F4" s="222"/>
      <c r="G4" s="222"/>
      <c r="H4" s="222"/>
      <c r="I4" s="222"/>
      <c r="J4" s="222"/>
      <c r="K4" s="222"/>
      <c r="L4" s="222"/>
      <c r="M4" s="222"/>
      <c r="N4" s="222"/>
      <c r="O4" s="222"/>
    </row>
    <row r="5" spans="1:74" ht="12.75" customHeight="1" thickBot="1" x14ac:dyDescent="0.3">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x14ac:dyDescent="0.25">
      <c r="D6" s="651" t="str">
        <f>Translations!$B$193</f>
        <v>Process</v>
      </c>
      <c r="E6" s="332" t="str">
        <f t="shared" ref="E6:AH6" si="2">INDEX($D$7:$D$36,E1)</f>
        <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
      </c>
      <c r="P6" s="333" t="str">
        <f t="shared" si="2"/>
        <v/>
      </c>
      <c r="Q6" s="333" t="str">
        <f t="shared" si="2"/>
        <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x14ac:dyDescent="0.25">
      <c r="B7" s="221" t="s">
        <v>1433</v>
      </c>
      <c r="C7" s="225">
        <v>1</v>
      </c>
      <c r="D7" s="340" t="str">
        <f t="shared" ref="D7:D16" si="3">IF(INDEX(CNTR_List_ExistProdProcNames,C7)=CONST_NA,"",INDEX(CNTR_List_ExistProdProcNames,C7))</f>
        <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1" t="str">
        <f>Translations!$B$630</f>
        <v>Precursors</v>
      </c>
      <c r="C17" s="225">
        <v>1</v>
      </c>
      <c r="D17" s="405" t="str">
        <f t="shared" ref="D17:D36" si="4">IF(INDEX(CNTR_List_ExistPurchPrecNames,C17)=CONST_NA,"",INDEX(CNTR_List_ExistPurchPrecNames,C17))</f>
        <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40" t="str">
        <f t="shared" si="4"/>
        <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40" t="str">
        <f t="shared" si="4"/>
        <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40" t="str">
        <f t="shared" si="4"/>
        <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51" t="str">
        <f>Translations!$B$193</f>
        <v>Process</v>
      </c>
      <c r="E38" s="332" t="str">
        <f t="shared" ref="E38:AH38" si="5">E6</f>
        <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
      </c>
      <c r="P38" s="333" t="str">
        <f t="shared" si="5"/>
        <v/>
      </c>
      <c r="Q38" s="333" t="str">
        <f t="shared" si="5"/>
        <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x14ac:dyDescent="0.25">
      <c r="B39" s="221" t="s">
        <v>1433</v>
      </c>
      <c r="C39" s="225">
        <v>1</v>
      </c>
      <c r="D39" s="340" t="str">
        <f t="shared" ref="D39:D68" si="6">D7</f>
        <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x14ac:dyDescent="0.25">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x14ac:dyDescent="0.25">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x14ac:dyDescent="0.25">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x14ac:dyDescent="0.25">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x14ac:dyDescent="0.25">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x14ac:dyDescent="0.25">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x14ac:dyDescent="0.25">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x14ac:dyDescent="0.25">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x14ac:dyDescent="0.3">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x14ac:dyDescent="0.25">
      <c r="B49" s="221" t="str">
        <f>Translations!$B$630</f>
        <v>Precursors</v>
      </c>
      <c r="C49" s="225">
        <v>1</v>
      </c>
      <c r="D49" s="405" t="str">
        <f t="shared" si="6"/>
        <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x14ac:dyDescent="0.25">
      <c r="C50" s="225">
        <v>2</v>
      </c>
      <c r="D50" s="340" t="str">
        <f t="shared" si="6"/>
        <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x14ac:dyDescent="0.25">
      <c r="C51" s="225">
        <v>3</v>
      </c>
      <c r="D51" s="340" t="str">
        <f t="shared" si="6"/>
        <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x14ac:dyDescent="0.25">
      <c r="C52" s="225">
        <v>4</v>
      </c>
      <c r="D52" s="340" t="str">
        <f t="shared" si="6"/>
        <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x14ac:dyDescent="0.25">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x14ac:dyDescent="0.25">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x14ac:dyDescent="0.25">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x14ac:dyDescent="0.25">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x14ac:dyDescent="0.25">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x14ac:dyDescent="0.25">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x14ac:dyDescent="0.25">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x14ac:dyDescent="0.25">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x14ac:dyDescent="0.25">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x14ac:dyDescent="0.25">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x14ac:dyDescent="0.25">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x14ac:dyDescent="0.25">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x14ac:dyDescent="0.25">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x14ac:dyDescent="0.25">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x14ac:dyDescent="0.25">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x14ac:dyDescent="0.3">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1434</v>
      </c>
      <c r="BB68" s="223" t="str">
        <f>Translations!$B$553</f>
        <v>Purchased precursor</v>
      </c>
    </row>
    <row r="69" spans="2:74" ht="12.75" customHeight="1" thickBot="1" x14ac:dyDescent="0.3">
      <c r="E69" s="653" t="s">
        <v>1435</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3.75" x14ac:dyDescent="0.25">
      <c r="D70" s="652" t="s">
        <v>1436</v>
      </c>
      <c r="E70" s="332" t="str">
        <f t="shared" ref="E70:AH70" si="8">E6</f>
        <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
      </c>
      <c r="P70" s="333" t="str">
        <f t="shared" si="8"/>
        <v/>
      </c>
      <c r="Q70" s="333" t="str">
        <f t="shared" si="8"/>
        <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1437</v>
      </c>
      <c r="AR70" s="350" t="str">
        <f t="shared" ref="AR70:BU70" si="9">E70</f>
        <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
      </c>
      <c r="BC70" s="351" t="str">
        <f t="shared" si="9"/>
        <v/>
      </c>
      <c r="BD70" s="351" t="str">
        <f t="shared" si="9"/>
        <v/>
      </c>
      <c r="BE70" s="351" t="str">
        <f t="shared" si="9"/>
        <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x14ac:dyDescent="0.25">
      <c r="B71" s="221" t="s">
        <v>1433</v>
      </c>
      <c r="C71" s="225">
        <v>1</v>
      </c>
      <c r="D71" s="340" t="str">
        <f t="shared" ref="D71:D80" si="10">D7</f>
        <v/>
      </c>
      <c r="E71" s="335">
        <f t="array" ref="E71:AH100">MINVERSE(E39:AH68)</f>
        <v>1</v>
      </c>
      <c r="F71" s="226">
        <v>0</v>
      </c>
      <c r="G71" s="226">
        <v>0</v>
      </c>
      <c r="H71" s="226">
        <v>0</v>
      </c>
      <c r="I71" s="226">
        <v>0</v>
      </c>
      <c r="J71" s="226">
        <v>0</v>
      </c>
      <c r="K71" s="226">
        <v>0</v>
      </c>
      <c r="L71" s="226">
        <v>0</v>
      </c>
      <c r="M71" s="226">
        <v>0</v>
      </c>
      <c r="N71" s="336">
        <v>0</v>
      </c>
      <c r="O71" s="335">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v>
      </c>
      <c r="AK71" s="345">
        <f t="array" ref="AK71:AK100">MMULT(E71:AH100,AJ71:AJ100)</f>
        <v>0</v>
      </c>
      <c r="AL71" s="348">
        <f>IFERROR(SUMIF(D_Processes!S:S,CONST_CNTR_EmbedEmInDir &amp; D71,D_Processes!T:T)/SUMIF(D_Processes!R:R,CONST_CNTR_TotProd &amp; D71,D_Processes!T:T),0)</f>
        <v>0</v>
      </c>
      <c r="AM71" s="345">
        <f t="array" ref="AM71:AM100">MMULT(E71:AH100,AL71:AL100)</f>
        <v>0</v>
      </c>
      <c r="AN71" s="348">
        <f>IFERROR(SUMIF(D_Processes!R:R,CONST_ElecConsumption &amp; D71,D_Processes!T:T)/SUMIF(D_Processes!R:R,CONST_CNTR_TotProd &amp; D71,D_Processes!T:T),0)</f>
        <v>0</v>
      </c>
      <c r="AO71" s="345">
        <f t="array" ref="AO71:AO100">MMULT(E71:AH100,AN71:AN100)</f>
        <v>0</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x14ac:dyDescent="0.25">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x14ac:dyDescent="0.25">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x14ac:dyDescent="0.25">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x14ac:dyDescent="0.25">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x14ac:dyDescent="0.25">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x14ac:dyDescent="0.25">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x14ac:dyDescent="0.25">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x14ac:dyDescent="0.25">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x14ac:dyDescent="0.3">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x14ac:dyDescent="0.25">
      <c r="B81" s="221" t="str">
        <f>Translations!$B$630</f>
        <v>Precursors</v>
      </c>
      <c r="C81" s="225">
        <v>1</v>
      </c>
      <c r="D81" s="405" t="str">
        <f t="shared" ref="D81:D100" si="11">D17</f>
        <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0</v>
      </c>
      <c r="AK81" s="399">
        <v>0</v>
      </c>
      <c r="AL81" s="400">
        <f>IFERROR(SUMIF(E_PurchPrec!S:S,CONST_CNTR_EmbedEmInDir &amp; D81,E_PurchPrec!T:T)/SUMIF(E_PurchPrec!R:R,CONST_CNTR_TotProd &amp; D81,E_PurchPrec!T:T),0)</f>
        <v>0</v>
      </c>
      <c r="AM81" s="399">
        <v>0</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x14ac:dyDescent="0.25">
      <c r="C82" s="225">
        <v>2</v>
      </c>
      <c r="D82" s="340" t="str">
        <f t="shared" si="11"/>
        <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0</v>
      </c>
      <c r="AK82" s="345">
        <v>0</v>
      </c>
      <c r="AL82" s="348">
        <f>IFERROR(SUMIF(E_PurchPrec!S:S,CONST_CNTR_EmbedEmInDir &amp; D82,E_PurchPrec!T:T)/SUMIF(E_PurchPrec!R:R,CONST_CNTR_TotProd &amp; D82,E_PurchPrec!T:T),0)</f>
        <v>0</v>
      </c>
      <c r="AM82" s="345">
        <v>0</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x14ac:dyDescent="0.25">
      <c r="C83" s="225">
        <v>3</v>
      </c>
      <c r="D83" s="340" t="str">
        <f t="shared" si="11"/>
        <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0</v>
      </c>
      <c r="AK83" s="345">
        <v>0</v>
      </c>
      <c r="AL83" s="348">
        <f>IFERROR(SUMIF(E_PurchPrec!S:S,CONST_CNTR_EmbedEmInDir &amp; D83,E_PurchPrec!T:T)/SUMIF(E_PurchPrec!R:R,CONST_CNTR_TotProd &amp; D83,E_PurchPrec!T:T),0)</f>
        <v>0</v>
      </c>
      <c r="AM83" s="345">
        <v>0</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x14ac:dyDescent="0.25">
      <c r="C84" s="225">
        <v>4</v>
      </c>
      <c r="D84" s="340" t="str">
        <f t="shared" si="11"/>
        <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0</v>
      </c>
      <c r="AK84" s="345">
        <v>0</v>
      </c>
      <c r="AL84" s="348">
        <f>IFERROR(SUMIF(E_PurchPrec!S:S,CONST_CNTR_EmbedEmInDir &amp; D84,E_PurchPrec!T:T)/SUMIF(E_PurchPrec!R:R,CONST_CNTR_TotProd &amp; D84,E_PurchPrec!T:T),0)</f>
        <v>0</v>
      </c>
      <c r="AM84" s="345">
        <v>0</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x14ac:dyDescent="0.25">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x14ac:dyDescent="0.25">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x14ac:dyDescent="0.25">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x14ac:dyDescent="0.25">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x14ac:dyDescent="0.25">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x14ac:dyDescent="0.25">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x14ac:dyDescent="0.25">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x14ac:dyDescent="0.25">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x14ac:dyDescent="0.25">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x14ac:dyDescent="0.25">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x14ac:dyDescent="0.25">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x14ac:dyDescent="0.25">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x14ac:dyDescent="0.25">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x14ac:dyDescent="0.25">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x14ac:dyDescent="0.25">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x14ac:dyDescent="0.3">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phoneticPr fontId="68" type="noConversion"/>
  <conditionalFormatting sqref="E7:AH36">
    <cfRule type="cellIs" dxfId="26" priority="1" operator="equal">
      <formula>0</formula>
    </cfRule>
  </conditionalFormatting>
  <conditionalFormatting sqref="E39:AH68 E71:AH100">
    <cfRule type="cellIs" dxfId="25"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1438</v>
      </c>
      <c r="B1" s="283" t="s">
        <v>1439</v>
      </c>
    </row>
    <row r="2" spans="1:6" x14ac:dyDescent="0.2">
      <c r="A2" s="2" t="s">
        <v>1440</v>
      </c>
      <c r="B2" s="112" t="s">
        <v>1441</v>
      </c>
    </row>
    <row r="3" spans="1:6" x14ac:dyDescent="0.2">
      <c r="A3" s="2" t="s">
        <v>1442</v>
      </c>
      <c r="B3" s="112" t="s">
        <v>1443</v>
      </c>
    </row>
    <row r="4" spans="1:6" x14ac:dyDescent="0.2">
      <c r="A4" s="2" t="s">
        <v>1444</v>
      </c>
      <c r="B4" s="112" t="s">
        <v>1445</v>
      </c>
    </row>
    <row r="5" spans="1:6" x14ac:dyDescent="0.2">
      <c r="A5" s="2" t="s">
        <v>1446</v>
      </c>
      <c r="B5" s="112" t="s">
        <v>1447</v>
      </c>
    </row>
    <row r="6" spans="1:6" x14ac:dyDescent="0.2">
      <c r="A6" s="2" t="s">
        <v>1448</v>
      </c>
      <c r="B6" s="112" t="str">
        <f>CONST_CNTR_SUM_CO2</f>
        <v>SUM_CO2</v>
      </c>
      <c r="C6" s="112" t="str">
        <f>B5</f>
        <v>SUM_N2O</v>
      </c>
    </row>
    <row r="7" spans="1:6" x14ac:dyDescent="0.2">
      <c r="A7" s="2" t="s">
        <v>1449</v>
      </c>
      <c r="B7" s="112" t="s">
        <v>1450</v>
      </c>
    </row>
    <row r="8" spans="1:6" x14ac:dyDescent="0.2">
      <c r="A8" s="2" t="s">
        <v>1451</v>
      </c>
      <c r="B8" s="112" t="s">
        <v>1452</v>
      </c>
    </row>
    <row r="9" spans="1:6" x14ac:dyDescent="0.2">
      <c r="A9" s="2" t="s">
        <v>1453</v>
      </c>
      <c r="B9" s="112" t="s">
        <v>1454</v>
      </c>
    </row>
    <row r="10" spans="1:6" x14ac:dyDescent="0.2">
      <c r="A10" s="2" t="s">
        <v>1455</v>
      </c>
      <c r="B10" s="112" t="s">
        <v>1456</v>
      </c>
    </row>
    <row r="11" spans="1:6" x14ac:dyDescent="0.2">
      <c r="A11" s="2" t="s">
        <v>1457</v>
      </c>
      <c r="B11" s="112" t="s">
        <v>1458</v>
      </c>
    </row>
    <row r="12" spans="1:6" x14ac:dyDescent="0.2">
      <c r="A12" s="2" t="s">
        <v>1459</v>
      </c>
      <c r="B12" s="2" t="s">
        <v>1460</v>
      </c>
    </row>
    <row r="13" spans="1:6" x14ac:dyDescent="0.2">
      <c r="A13" s="112" t="s">
        <v>1461</v>
      </c>
      <c r="B13" s="112">
        <v>56.1</v>
      </c>
    </row>
    <row r="14" spans="1:6" x14ac:dyDescent="0.2">
      <c r="A14" s="112" t="s">
        <v>1462</v>
      </c>
      <c r="B14" s="112" t="s">
        <v>1463</v>
      </c>
    </row>
    <row r="15" spans="1:6" x14ac:dyDescent="0.2">
      <c r="A15" s="112" t="s">
        <v>1464</v>
      </c>
      <c r="B15" s="112" t="s">
        <v>1349</v>
      </c>
      <c r="C15" s="112" t="s">
        <v>1350</v>
      </c>
      <c r="D15" s="112" t="s">
        <v>1351</v>
      </c>
      <c r="E15" s="112" t="s">
        <v>1352</v>
      </c>
      <c r="F15" s="112" t="str">
        <f>Translations!$B$460</f>
        <v>Mix</v>
      </c>
    </row>
    <row r="16" spans="1:6" x14ac:dyDescent="0.2">
      <c r="A16" s="112" t="s">
        <v>1465</v>
      </c>
      <c r="B16" s="112" t="s">
        <v>1466</v>
      </c>
    </row>
    <row r="17" spans="1:3" x14ac:dyDescent="0.2">
      <c r="A17" s="112" t="s">
        <v>1467</v>
      </c>
      <c r="B17" s="112" t="s">
        <v>1468</v>
      </c>
    </row>
    <row r="18" spans="1:3" x14ac:dyDescent="0.2">
      <c r="A18" s="2" t="s">
        <v>1469</v>
      </c>
      <c r="B18" s="2" t="str">
        <f>Translations!$B$631</f>
        <v>n.a.</v>
      </c>
    </row>
    <row r="19" spans="1:3" x14ac:dyDescent="0.2">
      <c r="A19" s="112" t="s">
        <v>1470</v>
      </c>
      <c r="B19" s="112" t="s">
        <v>1471</v>
      </c>
    </row>
    <row r="20" spans="1:3" x14ac:dyDescent="0.2">
      <c r="A20" s="2" t="s">
        <v>1472</v>
      </c>
      <c r="B20" s="2" t="str">
        <f>Translations!$B$632</f>
        <v>tonnes</v>
      </c>
    </row>
    <row r="21" spans="1:3" x14ac:dyDescent="0.2">
      <c r="A21" s="2" t="s">
        <v>1473</v>
      </c>
      <c r="B21" s="2" t="s">
        <v>1439</v>
      </c>
      <c r="C21" s="1" t="s">
        <v>1474</v>
      </c>
    </row>
    <row r="22" spans="1:3" x14ac:dyDescent="0.2">
      <c r="A22" s="2" t="s">
        <v>1475</v>
      </c>
      <c r="B22" s="2" t="b">
        <v>1</v>
      </c>
      <c r="C22" s="112" t="b">
        <v>0</v>
      </c>
    </row>
    <row r="23" spans="1:3" x14ac:dyDescent="0.2">
      <c r="A23" s="112" t="s">
        <v>1476</v>
      </c>
      <c r="B23" s="112" t="str">
        <f>CONST_t</f>
        <v>t</v>
      </c>
      <c r="C23" s="112" t="str">
        <f>CONST_kNm3</f>
        <v>1000Nm3</v>
      </c>
    </row>
    <row r="24" spans="1:3" x14ac:dyDescent="0.2">
      <c r="A24" s="1" t="s">
        <v>1477</v>
      </c>
      <c r="B24" s="6" t="s">
        <v>444</v>
      </c>
    </row>
    <row r="25" spans="1:3" x14ac:dyDescent="0.2">
      <c r="A25" s="1" t="s">
        <v>1478</v>
      </c>
      <c r="B25" s="6" t="s">
        <v>1479</v>
      </c>
    </row>
    <row r="26" spans="1:3" x14ac:dyDescent="0.2">
      <c r="A26" s="8" t="s">
        <v>1480</v>
      </c>
      <c r="B26" s="112" t="s">
        <v>1322</v>
      </c>
    </row>
    <row r="27" spans="1:3" x14ac:dyDescent="0.2">
      <c r="A27" s="1" t="s">
        <v>1481</v>
      </c>
      <c r="B27" s="3" t="str">
        <f>Translations!$B$633</f>
        <v>1000Nm3</v>
      </c>
      <c r="C27" s="4"/>
    </row>
    <row r="28" spans="1:3" x14ac:dyDescent="0.2">
      <c r="A28" s="1" t="s">
        <v>1482</v>
      </c>
      <c r="B28" s="6" t="str">
        <f>CONST_GJ &amp; "/" &amp;CONST_t</f>
        <v>GJ/t</v>
      </c>
    </row>
    <row r="29" spans="1:3" x14ac:dyDescent="0.2">
      <c r="A29" s="1" t="s">
        <v>1483</v>
      </c>
      <c r="B29" s="6" t="s">
        <v>1484</v>
      </c>
    </row>
    <row r="30" spans="1:3" x14ac:dyDescent="0.2">
      <c r="A30" s="1" t="s">
        <v>1485</v>
      </c>
      <c r="B30" s="6" t="s">
        <v>1342</v>
      </c>
    </row>
    <row r="31" spans="1:3" x14ac:dyDescent="0.2">
      <c r="A31" s="1" t="s">
        <v>1486</v>
      </c>
      <c r="B31" s="6" t="s">
        <v>1487</v>
      </c>
    </row>
    <row r="32" spans="1:3" x14ac:dyDescent="0.2">
      <c r="A32" s="1" t="s">
        <v>1488</v>
      </c>
      <c r="B32" s="6" t="s">
        <v>1489</v>
      </c>
    </row>
    <row r="33" spans="1:7" x14ac:dyDescent="0.2">
      <c r="A33" s="1" t="s">
        <v>1490</v>
      </c>
      <c r="B33" s="6" t="str">
        <f>CONST_tCO2&amp;"/"&amp;CONST_t</f>
        <v>tCO2/t</v>
      </c>
    </row>
    <row r="34" spans="1:7" x14ac:dyDescent="0.2">
      <c r="A34" s="1" t="s">
        <v>1491</v>
      </c>
      <c r="B34" s="6" t="str">
        <f>CONST_tCO2&amp;"/"&amp;CONST_TJ</f>
        <v>tCO2/TJ</v>
      </c>
    </row>
    <row r="35" spans="1:7" x14ac:dyDescent="0.2">
      <c r="A35" s="1" t="s">
        <v>1492</v>
      </c>
      <c r="B35" s="6" t="str">
        <f>CONST_tCO2&amp;"/"&amp;CONST_kNm3</f>
        <v>tCO2/1000Nm3</v>
      </c>
    </row>
    <row r="36" spans="1:7" x14ac:dyDescent="0.2">
      <c r="A36" s="1" t="s">
        <v>1493</v>
      </c>
      <c r="B36" s="3" t="str">
        <f>CONST_GJ &amp; "/" &amp;CONST_kNm3</f>
        <v>GJ/1000Nm3</v>
      </c>
      <c r="C36" s="4"/>
    </row>
    <row r="37" spans="1:7" x14ac:dyDescent="0.2">
      <c r="A37" s="1" t="s">
        <v>1494</v>
      </c>
      <c r="B37" s="3" t="s">
        <v>1495</v>
      </c>
      <c r="C37" s="4"/>
    </row>
    <row r="38" spans="1:7" x14ac:dyDescent="0.2">
      <c r="A38" s="1" t="s">
        <v>1496</v>
      </c>
      <c r="B38" s="3" t="str">
        <f>CONST_tC &amp; "/" &amp; CONST_t</f>
        <v>tC/t</v>
      </c>
      <c r="C38" s="4"/>
    </row>
    <row r="39" spans="1:7" x14ac:dyDescent="0.2">
      <c r="A39" s="1" t="s">
        <v>1497</v>
      </c>
      <c r="B39" s="3" t="str">
        <f>CONST_tC &amp; "/" &amp; CONST_kNm3</f>
        <v>tC/1000Nm3</v>
      </c>
      <c r="C39" s="4"/>
    </row>
    <row r="40" spans="1:7" x14ac:dyDescent="0.2">
      <c r="A40" s="1" t="s">
        <v>1476</v>
      </c>
      <c r="B40" s="3" t="str">
        <f>CONST_t</f>
        <v>t</v>
      </c>
      <c r="C40" s="3" t="str">
        <f>CONST_kNm3</f>
        <v>1000Nm3</v>
      </c>
    </row>
    <row r="41" spans="1:7" x14ac:dyDescent="0.2">
      <c r="A41" s="1" t="s">
        <v>1498</v>
      </c>
      <c r="B41" s="3" t="str">
        <f>CONST_t</f>
        <v>t</v>
      </c>
      <c r="C41" s="3" t="str">
        <f>CONST_kNm3</f>
        <v>1000Nm3</v>
      </c>
      <c r="D41" s="3" t="str">
        <f>CONST_NA</f>
        <v>n.a.</v>
      </c>
    </row>
    <row r="42" spans="1:7" x14ac:dyDescent="0.2">
      <c r="A42" s="1" t="s">
        <v>1499</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1500</v>
      </c>
      <c r="B43" s="3" t="str">
        <f>Translations!$B$1880</f>
        <v>Third-party verification</v>
      </c>
      <c r="C43" s="3" t="str">
        <f>Translations!$B$1881</f>
        <v>Internal audits</v>
      </c>
      <c r="D43" s="3" t="str">
        <f>Translations!$B$1882</f>
        <v>Four eyes principle</v>
      </c>
      <c r="E43" s="3" t="str">
        <f>Translations!$B$634</f>
        <v>None</v>
      </c>
    </row>
    <row r="44" spans="1:7" x14ac:dyDescent="0.2">
      <c r="A44" s="1" t="s">
        <v>1501</v>
      </c>
      <c r="B44" s="3" t="str">
        <f>Translations!$B$1883</f>
        <v>Unreasonable costs for more accurate monitoring</v>
      </c>
      <c r="C44" s="3" t="str">
        <f>Translations!$B$1884</f>
        <v>Data gaps</v>
      </c>
      <c r="D44" s="3" t="str">
        <f>Translations!$B$638</f>
        <v>Other</v>
      </c>
    </row>
    <row r="45" spans="1:7" x14ac:dyDescent="0.2">
      <c r="A45" s="1" t="s">
        <v>1502</v>
      </c>
      <c r="B45" s="112"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1503</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1504</v>
      </c>
      <c r="B47" s="3" t="str">
        <f>CONST_tCO2pTJ</f>
        <v>tCO2/TJ</v>
      </c>
      <c r="C47" s="3" t="str">
        <f>CONST_tCO2pt</f>
        <v>tCO2/t</v>
      </c>
      <c r="D47" s="3" t="str">
        <f>CONST_tCO2pkNm3</f>
        <v>tCO2/1000Nm3</v>
      </c>
    </row>
    <row r="48" spans="1:7" x14ac:dyDescent="0.2">
      <c r="A48" s="1" t="s">
        <v>1505</v>
      </c>
      <c r="B48" s="3" t="str">
        <f>CONST_tC&amp;"/"&amp;CONST_t</f>
        <v>tC/t</v>
      </c>
      <c r="C48" s="3" t="s">
        <v>1506</v>
      </c>
      <c r="D48" s="3" t="str">
        <f>CONST_NA</f>
        <v>n.a.</v>
      </c>
    </row>
    <row r="49" spans="1:5" x14ac:dyDescent="0.2">
      <c r="A49" s="1" t="s">
        <v>1507</v>
      </c>
      <c r="B49" s="3" t="str">
        <f>CONST_tC&amp;"/"&amp;CONST_t</f>
        <v>tC/t</v>
      </c>
      <c r="C49" s="3" t="str">
        <f>CONST_tC&amp;"/"&amp;CONST_kNm3</f>
        <v>tC/1000Nm3</v>
      </c>
    </row>
    <row r="50" spans="1:5" x14ac:dyDescent="0.2">
      <c r="A50" s="1" t="s">
        <v>1508</v>
      </c>
      <c r="B50" s="5" t="str">
        <f>Translations!$B$642</f>
        <v>h/year</v>
      </c>
    </row>
    <row r="51" spans="1:5" x14ac:dyDescent="0.2">
      <c r="A51" s="1" t="s">
        <v>1509</v>
      </c>
      <c r="B51" s="5" t="str">
        <f>Translations!$B$643</f>
        <v>1000Nm3/h</v>
      </c>
    </row>
    <row r="52" spans="1:5" x14ac:dyDescent="0.2">
      <c r="A52" s="1" t="s">
        <v>1510</v>
      </c>
      <c r="B52" s="5" t="str">
        <f>Translations!$B$644</f>
        <v>g/Nm3</v>
      </c>
    </row>
    <row r="53" spans="1:5" x14ac:dyDescent="0.2">
      <c r="A53" s="1" t="s">
        <v>1511</v>
      </c>
      <c r="B53" s="3" t="str">
        <f>CONST_kNm3 &amp; "/" &amp; CONST_Year</f>
        <v>1000Nm3/Year</v>
      </c>
    </row>
    <row r="54" spans="1:5" x14ac:dyDescent="0.2">
      <c r="A54" s="1" t="s">
        <v>1512</v>
      </c>
      <c r="B54" s="5" t="str">
        <f>Translations!$B$645</f>
        <v>Year</v>
      </c>
    </row>
    <row r="55" spans="1:5" x14ac:dyDescent="0.2">
      <c r="A55" s="112" t="s">
        <v>1513</v>
      </c>
      <c r="B55" s="112" t="s">
        <v>1328</v>
      </c>
      <c r="C55" s="112" t="s">
        <v>1327</v>
      </c>
    </row>
    <row r="56" spans="1:5" x14ac:dyDescent="0.2">
      <c r="A56" s="112" t="s">
        <v>1514</v>
      </c>
      <c r="B56" s="112" t="str">
        <f>Translations!$B$181</f>
        <v>Combustion</v>
      </c>
      <c r="C56" s="112" t="str">
        <f>Translations!$B$646</f>
        <v>Process emissions</v>
      </c>
      <c r="D56" s="112" t="str">
        <f>Translations!$B$194</f>
        <v>Mass Balance</v>
      </c>
    </row>
    <row r="57" spans="1:5" x14ac:dyDescent="0.2">
      <c r="A57" s="112" t="s">
        <v>1515</v>
      </c>
      <c r="B57" s="112" t="str">
        <f>Translations!$B$647</f>
        <v>Slope method</v>
      </c>
      <c r="C57" s="112" t="str">
        <f>Translations!$B$203</f>
        <v>Overvoltage method</v>
      </c>
    </row>
    <row r="58" spans="1:5" x14ac:dyDescent="0.2">
      <c r="A58" s="1" t="s">
        <v>1516</v>
      </c>
      <c r="B58" s="3" t="str">
        <f>Translations!$B$615</f>
        <v>Coal or coke</v>
      </c>
      <c r="C58" s="3" t="str">
        <f>Translations!$B$648</f>
        <v>Natural gas</v>
      </c>
      <c r="D58" s="3" t="str">
        <f>Translations!$B$649</f>
        <v>Biogas</v>
      </c>
      <c r="E58" s="3" t="str">
        <f>Translations!$B$650</f>
        <v>Hydrogen</v>
      </c>
    </row>
    <row r="59" spans="1:5" x14ac:dyDescent="0.2">
      <c r="A59" s="1" t="s">
        <v>1517</v>
      </c>
      <c r="B59" s="3" t="str">
        <f>Translations!$B$651</f>
        <v>Missing! Please assign ALL relevant aggregated goods categories to a 'production process'.</v>
      </c>
    </row>
    <row r="60" spans="1:5" x14ac:dyDescent="0.2">
      <c r="A60" s="112" t="s">
        <v>1518</v>
      </c>
      <c r="B60" s="112" t="str">
        <f>Translations!$B$652</f>
        <v>Click here to proceed to next sheet</v>
      </c>
    </row>
    <row r="61" spans="1:5" x14ac:dyDescent="0.2">
      <c r="A61" s="112" t="s">
        <v>1519</v>
      </c>
      <c r="B61" s="112" t="s">
        <v>1520</v>
      </c>
    </row>
    <row r="62" spans="1:5" x14ac:dyDescent="0.2">
      <c r="A62" s="112" t="s">
        <v>1521</v>
      </c>
      <c r="B62" s="112" t="str">
        <f>Translations!$B$653</f>
        <v>Only direct production</v>
      </c>
    </row>
    <row r="63" spans="1:5" x14ac:dyDescent="0.2">
      <c r="A63" s="112" t="s">
        <v>1522</v>
      </c>
      <c r="B63" s="112" t="str">
        <f>Translations!$B$654</f>
        <v>All production routes</v>
      </c>
    </row>
    <row r="64" spans="1:5" x14ac:dyDescent="0.2">
      <c r="A64" s="112" t="s">
        <v>1523</v>
      </c>
      <c r="B64" s="112" t="str">
        <f>Translations!$B$655</f>
        <v>Please select…</v>
      </c>
    </row>
    <row r="65" spans="1:64" x14ac:dyDescent="0.2">
      <c r="A65" s="112" t="s">
        <v>1524</v>
      </c>
      <c r="B65" s="112" t="str">
        <f>Translations!$B$656</f>
        <v>Incomplete!</v>
      </c>
    </row>
    <row r="66" spans="1:64" x14ac:dyDescent="0.2">
      <c r="A66" s="112" t="s">
        <v>1525</v>
      </c>
      <c r="B66" s="112" t="str">
        <f>Translations!$B$657</f>
        <v>Duplicate!</v>
      </c>
    </row>
    <row r="67" spans="1:64" x14ac:dyDescent="0.2">
      <c r="A67" s="112" t="s">
        <v>1526</v>
      </c>
      <c r="B67" s="112" t="str">
        <f>Translations!$B$658</f>
        <v>Measured</v>
      </c>
      <c r="C67" s="112" t="str">
        <f>Translations!$B$659</f>
        <v>Default</v>
      </c>
    </row>
    <row r="68" spans="1:64" x14ac:dyDescent="0.2">
      <c r="A68" s="112" t="s">
        <v>1527</v>
      </c>
      <c r="B68" s="112" t="str">
        <f>Translations!$B$120</f>
        <v>Production process</v>
      </c>
      <c r="C68" s="112"/>
    </row>
    <row r="69" spans="1:64" x14ac:dyDescent="0.2">
      <c r="A69" s="112" t="s">
        <v>1528</v>
      </c>
      <c r="B69" s="112" t="str">
        <f>Translations!$B$553</f>
        <v>Purchased precursor</v>
      </c>
      <c r="C69" s="112"/>
    </row>
    <row r="70" spans="1:64" x14ac:dyDescent="0.2">
      <c r="A70" s="112" t="s">
        <v>1529</v>
      </c>
      <c r="B70" s="112" t="str">
        <f>Translations!$B$660</f>
        <v>Please click on this link for further guidance on how to complete this section.</v>
      </c>
    </row>
    <row r="71" spans="1:64" x14ac:dyDescent="0.2">
      <c r="A71" s="112" t="s">
        <v>1530</v>
      </c>
      <c r="B71" s="112" t="str">
        <f>Translations!$B$661</f>
        <v>Please click on this link if you want to go back to the relevant section for data entry.</v>
      </c>
    </row>
    <row r="72" spans="1:64" x14ac:dyDescent="0.2">
      <c r="A72" s="112" t="s">
        <v>1531</v>
      </c>
      <c r="B72" s="112" t="str">
        <f>Translations!$B$662</f>
        <v>Please click on this link to go to the "tool for calculation of the carbon price due".</v>
      </c>
    </row>
    <row r="73" spans="1:64" x14ac:dyDescent="0.2">
      <c r="A73" s="112" t="s">
        <v>1532</v>
      </c>
      <c r="B73" s="112" t="str">
        <f>Translations!$B$663</f>
        <v>Please click on this link to go to the "CHP Tool for attributing emissions between heat and electricity".</v>
      </c>
    </row>
    <row r="75" spans="1:64" s="284" customFormat="1" ht="13.5" thickBot="1" x14ac:dyDescent="0.25"/>
    <row r="76" spans="1:64" s="112" customFormat="1" ht="13.5" thickBot="1" x14ac:dyDescent="0.25">
      <c r="A76" s="376" t="str">
        <f>Translations!$B$1885</f>
        <v>Name of this sheet:</v>
      </c>
      <c r="B76" s="377" t="str">
        <f ca="1">IF(ISERROR(CELL("filename",C76)),"Parameters",MID(CELL("filename",C76),FIND("]",CELL("filename",C76))+1,1024))</f>
        <v>Parameters_Constants</v>
      </c>
    </row>
    <row r="77" spans="1:64" s="112" customFormat="1" x14ac:dyDescent="0.2"/>
    <row r="78" spans="1:64" s="112" customFormat="1" x14ac:dyDescent="0.2">
      <c r="C78" s="378" t="s">
        <v>1533</v>
      </c>
      <c r="F78" s="378" t="str">
        <f>Translations!$B$244</f>
        <v>Production route</v>
      </c>
      <c r="Q78" s="378" t="s">
        <v>1534</v>
      </c>
      <c r="BL78" s="656" t="s">
        <v>1535</v>
      </c>
    </row>
    <row r="79" spans="1:64" s="112" customFormat="1" x14ac:dyDescent="0.2">
      <c r="A79" s="379" t="s">
        <v>1536</v>
      </c>
      <c r="B79" s="380" t="str">
        <f>Translations!$B$221</f>
        <v>Unit</v>
      </c>
      <c r="C79" s="379" t="s">
        <v>1533</v>
      </c>
      <c r="D79" s="379" t="s">
        <v>1533</v>
      </c>
      <c r="E79" s="379" t="s">
        <v>1537</v>
      </c>
      <c r="F79" s="379" t="s">
        <v>1538</v>
      </c>
      <c r="G79" s="381">
        <v>1</v>
      </c>
      <c r="H79" s="381">
        <v>2</v>
      </c>
      <c r="I79" s="381">
        <v>3</v>
      </c>
      <c r="J79" s="381">
        <v>4</v>
      </c>
      <c r="K79" s="381">
        <v>5</v>
      </c>
      <c r="L79" s="381">
        <v>6</v>
      </c>
      <c r="M79" s="381">
        <v>7</v>
      </c>
      <c r="N79" s="381">
        <v>8</v>
      </c>
      <c r="O79" s="381">
        <v>9</v>
      </c>
      <c r="P79" s="381">
        <v>10</v>
      </c>
      <c r="Q79" s="379" t="s">
        <v>1538</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1539</v>
      </c>
      <c r="BJ79" s="657" t="s">
        <v>1540</v>
      </c>
      <c r="BL79" s="657" t="s">
        <v>1541</v>
      </c>
    </row>
    <row r="80" spans="1:64" s="112" customFormat="1" x14ac:dyDescent="0.2">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Parameters_Constants!$G$80:$G$80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Parameters_Constants!$R$80:$S$80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x14ac:dyDescent="0.2">
      <c r="A81" s="116" t="str">
        <f>Translations!$B$665</f>
        <v>Cement clinker</v>
      </c>
      <c r="B81" s="382" t="str">
        <f t="shared" si="0"/>
        <v>t</v>
      </c>
      <c r="C81" s="116" t="b">
        <v>1</v>
      </c>
      <c r="D81" s="116" t="b">
        <f t="shared" si="1"/>
        <v>1</v>
      </c>
      <c r="E81" s="116" t="b">
        <f t="shared" si="2"/>
        <v>0</v>
      </c>
      <c r="F81" s="383" t="str">
        <f t="shared" ca="1" si="3"/>
        <v>Parameters_Constants!$G$81:$G$81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x14ac:dyDescent="0.2">
      <c r="A82" s="116" t="str">
        <f>Translations!$B$666</f>
        <v xml:space="preserve">Calcined clays </v>
      </c>
      <c r="B82" s="382" t="str">
        <f t="shared" si="0"/>
        <v>t</v>
      </c>
      <c r="C82" s="116" t="b">
        <v>1</v>
      </c>
      <c r="D82" s="116" t="b">
        <f t="shared" si="1"/>
        <v>1</v>
      </c>
      <c r="E82" s="116" t="b">
        <f t="shared" si="2"/>
        <v>0</v>
      </c>
      <c r="F82" s="383" t="str">
        <f t="shared" ca="1" si="3"/>
        <v>Parameters_Constants!$G$82:$G$82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x14ac:dyDescent="0.2">
      <c r="A83" s="116" t="str">
        <f>Translations!$B$667</f>
        <v>Aluminous cement</v>
      </c>
      <c r="B83" s="382" t="str">
        <f t="shared" si="0"/>
        <v>t</v>
      </c>
      <c r="C83" s="116" t="b">
        <v>1</v>
      </c>
      <c r="D83" s="116" t="b">
        <f t="shared" si="1"/>
        <v>1</v>
      </c>
      <c r="E83" s="116" t="b">
        <f t="shared" si="2"/>
        <v>0</v>
      </c>
      <c r="F83" s="383" t="str">
        <f t="shared" ca="1" si="3"/>
        <v>Parameters_Constants!$G$83:$G$83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x14ac:dyDescent="0.2">
      <c r="A84" s="116" t="str">
        <f>Translations!$B$611</f>
        <v>Iron or steel products</v>
      </c>
      <c r="B84" s="382" t="str">
        <f t="shared" si="0"/>
        <v>t</v>
      </c>
      <c r="C84" s="116" t="b">
        <v>0</v>
      </c>
      <c r="D84" s="116" t="b">
        <f t="shared" si="1"/>
        <v>1</v>
      </c>
      <c r="E84" s="116" t="b">
        <f t="shared" si="2"/>
        <v>0</v>
      </c>
      <c r="F84" s="383" t="str">
        <f t="shared" ca="1" si="3"/>
        <v>Parameters_Constants!$G$84:$G$84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Parameters_Constants!$R$84:$R$84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0</v>
      </c>
      <c r="BJ84" s="382">
        <v>0</v>
      </c>
      <c r="BL84" s="382" t="str">
        <f>IF(BJ84&gt;0,MAX($BL$79:BL83)+1,"")</f>
        <v/>
      </c>
    </row>
    <row r="85" spans="1:64" s="112" customFormat="1" x14ac:dyDescent="0.2">
      <c r="A85" s="116" t="str">
        <f>Translations!$B$668</f>
        <v>Crude steel</v>
      </c>
      <c r="B85" s="382" t="str">
        <f t="shared" si="0"/>
        <v>t</v>
      </c>
      <c r="C85" s="116" t="b">
        <v>0</v>
      </c>
      <c r="D85" s="116" t="b">
        <f t="shared" si="1"/>
        <v>1</v>
      </c>
      <c r="E85" s="116" t="b">
        <f t="shared" si="2"/>
        <v>1</v>
      </c>
      <c r="F85" s="383" t="str">
        <f t="shared" ca="1" si="3"/>
        <v>Parameters_Constants!$G$85:$J$85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0</v>
      </c>
      <c r="BL85" s="382" t="str">
        <f>IF(BJ85&gt;0,MAX($BL$79:BL84)+1,"")</f>
        <v/>
      </c>
    </row>
    <row r="86" spans="1:64" s="112" customFormat="1" x14ac:dyDescent="0.2">
      <c r="A86" s="116" t="str">
        <f>Translations!$B$673</f>
        <v>Direct reduced iron</v>
      </c>
      <c r="B86" s="382" t="str">
        <f t="shared" si="0"/>
        <v>t</v>
      </c>
      <c r="C86" s="116" t="b">
        <v>0</v>
      </c>
      <c r="D86" s="116" t="b">
        <f t="shared" si="1"/>
        <v>1</v>
      </c>
      <c r="E86" s="116" t="b">
        <f t="shared" si="2"/>
        <v>0</v>
      </c>
      <c r="F86" s="383" t="str">
        <f t="shared" ca="1" si="3"/>
        <v>Parameters_Constants!$G$86:$G$86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0</v>
      </c>
      <c r="BL86" s="382" t="str">
        <f>IF(BJ86&gt;0,MAX($BL$79:BL85)+1,"")</f>
        <v/>
      </c>
    </row>
    <row r="87" spans="1:64" s="112" customFormat="1" x14ac:dyDescent="0.2">
      <c r="A87" s="116" t="str">
        <f>Translations!$B$674</f>
        <v>Pig iron</v>
      </c>
      <c r="B87" s="382" t="str">
        <f t="shared" si="0"/>
        <v>t</v>
      </c>
      <c r="C87" s="116" t="b">
        <v>0</v>
      </c>
      <c r="D87" s="116" t="b">
        <f t="shared" si="1"/>
        <v>1</v>
      </c>
      <c r="E87" s="116" t="b">
        <f t="shared" si="2"/>
        <v>1</v>
      </c>
      <c r="F87" s="383" t="str">
        <f t="shared" ca="1" si="3"/>
        <v>Parameters_Constants!$G$87:$J$87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0</v>
      </c>
      <c r="BL87" s="382" t="str">
        <f>IF(BJ87&gt;0,MAX($BL$79:BL86)+1,"")</f>
        <v/>
      </c>
    </row>
    <row r="88" spans="1:64" s="112" customFormat="1" x14ac:dyDescent="0.2">
      <c r="A88" s="116" t="str">
        <f>Translations!$B$677</f>
        <v>Alloys (FeMn, FeCr, FeNi)</v>
      </c>
      <c r="B88" s="382" t="str">
        <f t="shared" si="0"/>
        <v>t</v>
      </c>
      <c r="C88" s="116" t="b">
        <v>0</v>
      </c>
      <c r="D88" s="116" t="b">
        <f t="shared" si="1"/>
        <v>1</v>
      </c>
      <c r="E88" s="116" t="b">
        <f t="shared" si="2"/>
        <v>0</v>
      </c>
      <c r="F88" s="383" t="str">
        <f t="shared" ca="1" si="3"/>
        <v>Parameters_Constants!$G$88:$G$88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0</v>
      </c>
      <c r="BL88" s="382" t="str">
        <f>IF(BJ88&gt;0,MAX($BL$79:BL87)+1,"")</f>
        <v/>
      </c>
    </row>
    <row r="89" spans="1:64" s="112" customFormat="1" x14ac:dyDescent="0.2">
      <c r="A89" s="116" t="str">
        <f>Translations!$B$678</f>
        <v>Sintered Ore</v>
      </c>
      <c r="B89" s="382" t="str">
        <f t="shared" si="0"/>
        <v>t</v>
      </c>
      <c r="C89" s="116" t="b">
        <v>1</v>
      </c>
      <c r="D89" s="116" t="b">
        <f t="shared" si="1"/>
        <v>1</v>
      </c>
      <c r="E89" s="116" t="b">
        <f t="shared" si="2"/>
        <v>0</v>
      </c>
      <c r="F89" s="383" t="str">
        <f t="shared" ca="1" si="3"/>
        <v>Parameters_Constants!$G$89:$G$89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0</v>
      </c>
      <c r="BL89" s="382" t="str">
        <f>IF(BJ89&gt;0,MAX($BL$79:BL88)+1,"")</f>
        <v/>
      </c>
    </row>
    <row r="90" spans="1:64" s="112" customFormat="1" x14ac:dyDescent="0.2">
      <c r="A90" s="116" t="str">
        <f>Translations!$B$650</f>
        <v>Hydrogen</v>
      </c>
      <c r="B90" s="382" t="str">
        <f t="shared" si="0"/>
        <v>t</v>
      </c>
      <c r="C90" s="116" t="b">
        <v>0</v>
      </c>
      <c r="D90" s="116" t="b">
        <f t="shared" si="1"/>
        <v>1</v>
      </c>
      <c r="E90" s="116" t="b">
        <f t="shared" si="2"/>
        <v>1</v>
      </c>
      <c r="F90" s="383" t="str">
        <f t="shared" ca="1" si="3"/>
        <v>Parameters_Constants!$G$90:$K$90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0</v>
      </c>
      <c r="BL90" s="382" t="str">
        <f>IF(BJ90&gt;0,MAX($BL$79:BL89)+1,"")</f>
        <v/>
      </c>
    </row>
    <row r="91" spans="1:64" s="112" customFormat="1" x14ac:dyDescent="0.2">
      <c r="A91" s="116" t="str">
        <f>Translations!$B$682</f>
        <v>Ammonia</v>
      </c>
      <c r="B91" s="382" t="str">
        <f t="shared" si="0"/>
        <v>t</v>
      </c>
      <c r="C91" s="116" t="b">
        <v>0</v>
      </c>
      <c r="D91" s="116" t="b">
        <f t="shared" si="1"/>
        <v>1</v>
      </c>
      <c r="E91" s="116" t="b">
        <f t="shared" si="2"/>
        <v>1</v>
      </c>
      <c r="F91" s="383" t="str">
        <f t="shared" ca="1" si="3"/>
        <v>Parameters_Constants!$G$91:$J$91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Parameters_Constants!$R$91:$R$91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x14ac:dyDescent="0.2">
      <c r="A92" s="116" t="str">
        <f>Translations!$B$685</f>
        <v>Nitric acid</v>
      </c>
      <c r="B92" s="382" t="str">
        <f t="shared" si="0"/>
        <v>t</v>
      </c>
      <c r="C92" s="116" t="b">
        <v>1</v>
      </c>
      <c r="D92" s="116" t="b">
        <f t="shared" si="1"/>
        <v>1</v>
      </c>
      <c r="E92" s="116" t="b">
        <f t="shared" si="2"/>
        <v>0</v>
      </c>
      <c r="F92" s="383" t="str">
        <f t="shared" ca="1" si="3"/>
        <v>Parameters_Constants!$G$92:$G$92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x14ac:dyDescent="0.2">
      <c r="A93" s="116" t="str">
        <f>Translations!$B$686</f>
        <v>Urea</v>
      </c>
      <c r="B93" s="382" t="str">
        <f t="shared" si="0"/>
        <v>t</v>
      </c>
      <c r="C93" s="116" t="b">
        <v>1</v>
      </c>
      <c r="D93" s="116" t="b">
        <f t="shared" si="1"/>
        <v>1</v>
      </c>
      <c r="E93" s="116" t="b">
        <f t="shared" si="2"/>
        <v>0</v>
      </c>
      <c r="F93" s="383" t="str">
        <f t="shared" ca="1" si="3"/>
        <v>Parameters_Constants!$G$93:$G$93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x14ac:dyDescent="0.2">
      <c r="A94" s="116" t="str">
        <f>Translations!$B$687</f>
        <v>Mixed fertilizers</v>
      </c>
      <c r="B94" s="382" t="str">
        <f t="shared" si="0"/>
        <v>t</v>
      </c>
      <c r="C94" s="116" t="b">
        <v>1</v>
      </c>
      <c r="D94" s="116" t="b">
        <f t="shared" si="1"/>
        <v>1</v>
      </c>
      <c r="E94" s="116" t="b">
        <f t="shared" si="2"/>
        <v>0</v>
      </c>
      <c r="F94" s="383" t="str">
        <f t="shared" ca="1" si="3"/>
        <v>Parameters_Constants!$G$94:$G$94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x14ac:dyDescent="0.2">
      <c r="A95" s="116" t="str">
        <f>Translations!$B$688</f>
        <v>Aluminium products</v>
      </c>
      <c r="B95" s="382" t="str">
        <f t="shared" si="0"/>
        <v>t</v>
      </c>
      <c r="C95" s="116" t="b">
        <v>0</v>
      </c>
      <c r="D95" s="116" t="b">
        <f t="shared" si="1"/>
        <v>1</v>
      </c>
      <c r="E95" s="116" t="b">
        <f t="shared" si="2"/>
        <v>0</v>
      </c>
      <c r="F95" s="383" t="str">
        <f t="shared" ca="1" si="3"/>
        <v>Parameters_Constants!$G$95:$G$95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x14ac:dyDescent="0.2">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Parameters_Constants!$G$96:$J$96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x14ac:dyDescent="0.2">
      <c r="A97" s="116" t="str">
        <f>Translations!$B$692</f>
        <v>Electricity (export to EU)</v>
      </c>
      <c r="B97" s="382" t="str">
        <f>CONST_GWh</f>
        <v>GWh</v>
      </c>
      <c r="C97" s="116" t="b">
        <v>0</v>
      </c>
      <c r="D97" s="116" t="b">
        <f t="shared" si="1"/>
        <v>1</v>
      </c>
      <c r="E97" s="116" t="b">
        <f t="shared" si="2"/>
        <v>0</v>
      </c>
      <c r="F97" s="383" t="str">
        <f t="shared" ca="1" si="3"/>
        <v>Parameters_Constants!$G$97:$G$97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x14ac:dyDescent="0.2"/>
    <row r="99" spans="1:64" s="112" customFormat="1" x14ac:dyDescent="0.2">
      <c r="B99" s="378" t="s">
        <v>1542</v>
      </c>
    </row>
    <row r="100" spans="1:64" s="112" customFormat="1" x14ac:dyDescent="0.2">
      <c r="A100" s="379" t="s">
        <v>1536</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x14ac:dyDescent="0.2">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x14ac:dyDescent="0.2"/>
    <row r="121" spans="1:32" s="112" customFormat="1" x14ac:dyDescent="0.2">
      <c r="A121" s="384" t="s">
        <v>1543</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x14ac:dyDescent="0.2"/>
    <row r="123" spans="1:32" s="112" customFormat="1" x14ac:dyDescent="0.2">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x14ac:dyDescent="0.2">
      <c r="A124" s="378" t="s">
        <v>1544</v>
      </c>
      <c r="B124" s="116" t="str">
        <f t="shared" ref="B124:S124" ca="1" si="44">ADDRESS(ROW(B125),COLUMN(),,,$B$76)&amp;":"&amp;ADDRESS(ROW(B125)+MAX(0,41-COUNTIF(B125:B166,CONST_NA)),COLUMN(B125))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Parameters_Constants!$F$125:$F$166</v>
      </c>
      <c r="G124" s="116" t="str">
        <f t="shared" ca="1" si="44"/>
        <v>Parameters_Constants!$G$125:$G$166</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Parameters_Constants!$Q$125:$Q$166</v>
      </c>
      <c r="R124" s="116" t="str">
        <f t="shared" ca="1" si="44"/>
        <v>Parameters_Constants!$R$125:$R$129</v>
      </c>
      <c r="S124" s="116" t="str">
        <f t="shared" ca="1" si="44"/>
        <v>Parameters_Constants!$S$125:$S$125</v>
      </c>
    </row>
    <row r="125" spans="1:32" s="112" customFormat="1" x14ac:dyDescent="0.2">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x14ac:dyDescent="0.2">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x14ac:dyDescent="0.2">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x14ac:dyDescent="0.2">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x14ac:dyDescent="0.2">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x14ac:dyDescent="0.2">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x14ac:dyDescent="0.2">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x14ac:dyDescent="0.2">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x14ac:dyDescent="0.2">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x14ac:dyDescent="0.2">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x14ac:dyDescent="0.2">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x14ac:dyDescent="0.2">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x14ac:dyDescent="0.2">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x14ac:dyDescent="0.2">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x14ac:dyDescent="0.2">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x14ac:dyDescent="0.2">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x14ac:dyDescent="0.2">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x14ac:dyDescent="0.2">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x14ac:dyDescent="0.2">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x14ac:dyDescent="0.2">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x14ac:dyDescent="0.2">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x14ac:dyDescent="0.2">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x14ac:dyDescent="0.2">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x14ac:dyDescent="0.2">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x14ac:dyDescent="0.2">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x14ac:dyDescent="0.2">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x14ac:dyDescent="0.2">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x14ac:dyDescent="0.2">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x14ac:dyDescent="0.2">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x14ac:dyDescent="0.2">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x14ac:dyDescent="0.2">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x14ac:dyDescent="0.2">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x14ac:dyDescent="0.2">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x14ac:dyDescent="0.2">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x14ac:dyDescent="0.2">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x14ac:dyDescent="0.2">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x14ac:dyDescent="0.2">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x14ac:dyDescent="0.2">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x14ac:dyDescent="0.2">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x14ac:dyDescent="0.2">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x14ac:dyDescent="0.2">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x14ac:dyDescent="0.2">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x14ac:dyDescent="0.2">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x14ac:dyDescent="0.2">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x14ac:dyDescent="0.2">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x14ac:dyDescent="0.2">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x14ac:dyDescent="0.2">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x14ac:dyDescent="0.2">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x14ac:dyDescent="0.2">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x14ac:dyDescent="0.2">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x14ac:dyDescent="0.2">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x14ac:dyDescent="0.2">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x14ac:dyDescent="0.2">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x14ac:dyDescent="0.2">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x14ac:dyDescent="0.2">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x14ac:dyDescent="0.2">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x14ac:dyDescent="0.2">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x14ac:dyDescent="0.2">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x14ac:dyDescent="0.2">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x14ac:dyDescent="0.2">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x14ac:dyDescent="0.2">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x14ac:dyDescent="0.2">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x14ac:dyDescent="0.2">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x14ac:dyDescent="0.2">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x14ac:dyDescent="0.2">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x14ac:dyDescent="0.2">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x14ac:dyDescent="0.2">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x14ac:dyDescent="0.2">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x14ac:dyDescent="0.2">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x14ac:dyDescent="0.2">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x14ac:dyDescent="0.2">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x14ac:dyDescent="0.2">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x14ac:dyDescent="0.2">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x14ac:dyDescent="0.2">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x14ac:dyDescent="0.2">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x14ac:dyDescent="0.2">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x14ac:dyDescent="0.2">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x14ac:dyDescent="0.2">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x14ac:dyDescent="0.2">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x14ac:dyDescent="0.2">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x14ac:dyDescent="0.2">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x14ac:dyDescent="0.2">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x14ac:dyDescent="0.2">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x14ac:dyDescent="0.2">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x14ac:dyDescent="0.2">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x14ac:dyDescent="0.2">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x14ac:dyDescent="0.2">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x14ac:dyDescent="0.2">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x14ac:dyDescent="0.2">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x14ac:dyDescent="0.2">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x14ac:dyDescent="0.2">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x14ac:dyDescent="0.2">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x14ac:dyDescent="0.2">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x14ac:dyDescent="0.2">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x14ac:dyDescent="0.2">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x14ac:dyDescent="0.2">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x14ac:dyDescent="0.2">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x14ac:dyDescent="0.2">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x14ac:dyDescent="0.2">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x14ac:dyDescent="0.2">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x14ac:dyDescent="0.2">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x14ac:dyDescent="0.2">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x14ac:dyDescent="0.2">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x14ac:dyDescent="0.2">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x14ac:dyDescent="0.2">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x14ac:dyDescent="0.2">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x14ac:dyDescent="0.2">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x14ac:dyDescent="0.2">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x14ac:dyDescent="0.2">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x14ac:dyDescent="0.2">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x14ac:dyDescent="0.2">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x14ac:dyDescent="0.2">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x14ac:dyDescent="0.2">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x14ac:dyDescent="0.2">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x14ac:dyDescent="0.2">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x14ac:dyDescent="0.2">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x14ac:dyDescent="0.2">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x14ac:dyDescent="0.2">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x14ac:dyDescent="0.2">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x14ac:dyDescent="0.2">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x14ac:dyDescent="0.2">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x14ac:dyDescent="0.2">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x14ac:dyDescent="0.2">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x14ac:dyDescent="0.2">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x14ac:dyDescent="0.2">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x14ac:dyDescent="0.2">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x14ac:dyDescent="0.2">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x14ac:dyDescent="0.2">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x14ac:dyDescent="0.2">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x14ac:dyDescent="0.2">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x14ac:dyDescent="0.2">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x14ac:dyDescent="0.2">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x14ac:dyDescent="0.2">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x14ac:dyDescent="0.2">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x14ac:dyDescent="0.2">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x14ac:dyDescent="0.2">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x14ac:dyDescent="0.2">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x14ac:dyDescent="0.2">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x14ac:dyDescent="0.2">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x14ac:dyDescent="0.2">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x14ac:dyDescent="0.2">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x14ac:dyDescent="0.2">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x14ac:dyDescent="0.2">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x14ac:dyDescent="0.2">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x14ac:dyDescent="0.2">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x14ac:dyDescent="0.2">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x14ac:dyDescent="0.2">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x14ac:dyDescent="0.2">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x14ac:dyDescent="0.2">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x14ac:dyDescent="0.2">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x14ac:dyDescent="0.2">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x14ac:dyDescent="0.2">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x14ac:dyDescent="0.2">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x14ac:dyDescent="0.2">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x14ac:dyDescent="0.2">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x14ac:dyDescent="0.2">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x14ac:dyDescent="0.2">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x14ac:dyDescent="0.2">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x14ac:dyDescent="0.2">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x14ac:dyDescent="0.2">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x14ac:dyDescent="0.2">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x14ac:dyDescent="0.2">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x14ac:dyDescent="0.2">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x14ac:dyDescent="0.2">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x14ac:dyDescent="0.2">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x14ac:dyDescent="0.2">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x14ac:dyDescent="0.2">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x14ac:dyDescent="0.2">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x14ac:dyDescent="0.2">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x14ac:dyDescent="0.2">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x14ac:dyDescent="0.2">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x14ac:dyDescent="0.2">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x14ac:dyDescent="0.2">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x14ac:dyDescent="0.2">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x14ac:dyDescent="0.2">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x14ac:dyDescent="0.2">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x14ac:dyDescent="0.2">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x14ac:dyDescent="0.2">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x14ac:dyDescent="0.2">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x14ac:dyDescent="0.2">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x14ac:dyDescent="0.2">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x14ac:dyDescent="0.2">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x14ac:dyDescent="0.2">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x14ac:dyDescent="0.2">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x14ac:dyDescent="0.2">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x14ac:dyDescent="0.2">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x14ac:dyDescent="0.2">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x14ac:dyDescent="0.2">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x14ac:dyDescent="0.2">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x14ac:dyDescent="0.2">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x14ac:dyDescent="0.2">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x14ac:dyDescent="0.2">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x14ac:dyDescent="0.2">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x14ac:dyDescent="0.2">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x14ac:dyDescent="0.2">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x14ac:dyDescent="0.2">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x14ac:dyDescent="0.2">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x14ac:dyDescent="0.2">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x14ac:dyDescent="0.2">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x14ac:dyDescent="0.2">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x14ac:dyDescent="0.2">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x14ac:dyDescent="0.2">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x14ac:dyDescent="0.2">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x14ac:dyDescent="0.2">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x14ac:dyDescent="0.2">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x14ac:dyDescent="0.2">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x14ac:dyDescent="0.2">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x14ac:dyDescent="0.2">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x14ac:dyDescent="0.2">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x14ac:dyDescent="0.2">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x14ac:dyDescent="0.2">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x14ac:dyDescent="0.2">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x14ac:dyDescent="0.2">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x14ac:dyDescent="0.2">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x14ac:dyDescent="0.2">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x14ac:dyDescent="0.2">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x14ac:dyDescent="0.2">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x14ac:dyDescent="0.2">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x14ac:dyDescent="0.2">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x14ac:dyDescent="0.2">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x14ac:dyDescent="0.2">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x14ac:dyDescent="0.2">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x14ac:dyDescent="0.2">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x14ac:dyDescent="0.2">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x14ac:dyDescent="0.2">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x14ac:dyDescent="0.2">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x14ac:dyDescent="0.2">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x14ac:dyDescent="0.2">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x14ac:dyDescent="0.2">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x14ac:dyDescent="0.2">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x14ac:dyDescent="0.2">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x14ac:dyDescent="0.2">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x14ac:dyDescent="0.2">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x14ac:dyDescent="0.2">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x14ac:dyDescent="0.2">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x14ac:dyDescent="0.2">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x14ac:dyDescent="0.2">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x14ac:dyDescent="0.2">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x14ac:dyDescent="0.2">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x14ac:dyDescent="0.2">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x14ac:dyDescent="0.2">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x14ac:dyDescent="0.2">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x14ac:dyDescent="0.2">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x14ac:dyDescent="0.2">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x14ac:dyDescent="0.2">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x14ac:dyDescent="0.2">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x14ac:dyDescent="0.2">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x14ac:dyDescent="0.2">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x14ac:dyDescent="0.2">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x14ac:dyDescent="0.2">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x14ac:dyDescent="0.2">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x14ac:dyDescent="0.2">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x14ac:dyDescent="0.2">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x14ac:dyDescent="0.2">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x14ac:dyDescent="0.2">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x14ac:dyDescent="0.2">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x14ac:dyDescent="0.2">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x14ac:dyDescent="0.2">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x14ac:dyDescent="0.2">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x14ac:dyDescent="0.2">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x14ac:dyDescent="0.2">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x14ac:dyDescent="0.2">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x14ac:dyDescent="0.2">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x14ac:dyDescent="0.2">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x14ac:dyDescent="0.2">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x14ac:dyDescent="0.2">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x14ac:dyDescent="0.2">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x14ac:dyDescent="0.2">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x14ac:dyDescent="0.2">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x14ac:dyDescent="0.2">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x14ac:dyDescent="0.2">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x14ac:dyDescent="0.2">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x14ac:dyDescent="0.2">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x14ac:dyDescent="0.2">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x14ac:dyDescent="0.2">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x14ac:dyDescent="0.2">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x14ac:dyDescent="0.2">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x14ac:dyDescent="0.2">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x14ac:dyDescent="0.2">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x14ac:dyDescent="0.2">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x14ac:dyDescent="0.2">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x14ac:dyDescent="0.2">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x14ac:dyDescent="0.2">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x14ac:dyDescent="0.2">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x14ac:dyDescent="0.2">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x14ac:dyDescent="0.2">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x14ac:dyDescent="0.2">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x14ac:dyDescent="0.2">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x14ac:dyDescent="0.2">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x14ac:dyDescent="0.2">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x14ac:dyDescent="0.2">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x14ac:dyDescent="0.2">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x14ac:dyDescent="0.2">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x14ac:dyDescent="0.2">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x14ac:dyDescent="0.2">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x14ac:dyDescent="0.2">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x14ac:dyDescent="0.2">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x14ac:dyDescent="0.2">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x14ac:dyDescent="0.2">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x14ac:dyDescent="0.2">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x14ac:dyDescent="0.2">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x14ac:dyDescent="0.2">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x14ac:dyDescent="0.2">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x14ac:dyDescent="0.2">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x14ac:dyDescent="0.2">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x14ac:dyDescent="0.2">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x14ac:dyDescent="0.2">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x14ac:dyDescent="0.2">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x14ac:dyDescent="0.2">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x14ac:dyDescent="0.2">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x14ac:dyDescent="0.2">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x14ac:dyDescent="0.2">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x14ac:dyDescent="0.2">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x14ac:dyDescent="0.2">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x14ac:dyDescent="0.2">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x14ac:dyDescent="0.2">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x14ac:dyDescent="0.2">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x14ac:dyDescent="0.2">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x14ac:dyDescent="0.2">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x14ac:dyDescent="0.2">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x14ac:dyDescent="0.2">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x14ac:dyDescent="0.2">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x14ac:dyDescent="0.2">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x14ac:dyDescent="0.2">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x14ac:dyDescent="0.2">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x14ac:dyDescent="0.2">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x14ac:dyDescent="0.2">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x14ac:dyDescent="0.2">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x14ac:dyDescent="0.2">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x14ac:dyDescent="0.2">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x14ac:dyDescent="0.2">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x14ac:dyDescent="0.2">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x14ac:dyDescent="0.2">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x14ac:dyDescent="0.2">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x14ac:dyDescent="0.2">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x14ac:dyDescent="0.2">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x14ac:dyDescent="0.2">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x14ac:dyDescent="0.2">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x14ac:dyDescent="0.2">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x14ac:dyDescent="0.2">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x14ac:dyDescent="0.2">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x14ac:dyDescent="0.2">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x14ac:dyDescent="0.2">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x14ac:dyDescent="0.2">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x14ac:dyDescent="0.2">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x14ac:dyDescent="0.2">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x14ac:dyDescent="0.2">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x14ac:dyDescent="0.2">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x14ac:dyDescent="0.2">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x14ac:dyDescent="0.2">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x14ac:dyDescent="0.2">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x14ac:dyDescent="0.2">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x14ac:dyDescent="0.2">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x14ac:dyDescent="0.2">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x14ac:dyDescent="0.2">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x14ac:dyDescent="0.2">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x14ac:dyDescent="0.2">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x14ac:dyDescent="0.2">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x14ac:dyDescent="0.2">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x14ac:dyDescent="0.2">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x14ac:dyDescent="0.2">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x14ac:dyDescent="0.2">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x14ac:dyDescent="0.2">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x14ac:dyDescent="0.2">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x14ac:dyDescent="0.2">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x14ac:dyDescent="0.2">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x14ac:dyDescent="0.2">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x14ac:dyDescent="0.2">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x14ac:dyDescent="0.2">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x14ac:dyDescent="0.2">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x14ac:dyDescent="0.2">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x14ac:dyDescent="0.2">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x14ac:dyDescent="0.2">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x14ac:dyDescent="0.2">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x14ac:dyDescent="0.2">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x14ac:dyDescent="0.2">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x14ac:dyDescent="0.2">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x14ac:dyDescent="0.2">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x14ac:dyDescent="0.2">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x14ac:dyDescent="0.2">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x14ac:dyDescent="0.2">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x14ac:dyDescent="0.2">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x14ac:dyDescent="0.2">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x14ac:dyDescent="0.2">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x14ac:dyDescent="0.2">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x14ac:dyDescent="0.2">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x14ac:dyDescent="0.2">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x14ac:dyDescent="0.2">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x14ac:dyDescent="0.2">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x14ac:dyDescent="0.2">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x14ac:dyDescent="0.2">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x14ac:dyDescent="0.2">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x14ac:dyDescent="0.2">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x14ac:dyDescent="0.2">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x14ac:dyDescent="0.2">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x14ac:dyDescent="0.2">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x14ac:dyDescent="0.2">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x14ac:dyDescent="0.2">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x14ac:dyDescent="0.2">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x14ac:dyDescent="0.2">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x14ac:dyDescent="0.2">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x14ac:dyDescent="0.2">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x14ac:dyDescent="0.2">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x14ac:dyDescent="0.2">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x14ac:dyDescent="0.2">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x14ac:dyDescent="0.2">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x14ac:dyDescent="0.2">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x14ac:dyDescent="0.2">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x14ac:dyDescent="0.2">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x14ac:dyDescent="0.2">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x14ac:dyDescent="0.2">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x14ac:dyDescent="0.2">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x14ac:dyDescent="0.2">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x14ac:dyDescent="0.2">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x14ac:dyDescent="0.2">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x14ac:dyDescent="0.2">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x14ac:dyDescent="0.2">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x14ac:dyDescent="0.2">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x14ac:dyDescent="0.2">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x14ac:dyDescent="0.2">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x14ac:dyDescent="0.2">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x14ac:dyDescent="0.2">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x14ac:dyDescent="0.2">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x14ac:dyDescent="0.2">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x14ac:dyDescent="0.2">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x14ac:dyDescent="0.2">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x14ac:dyDescent="0.2">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x14ac:dyDescent="0.2">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x14ac:dyDescent="0.2">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x14ac:dyDescent="0.2">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x14ac:dyDescent="0.2">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x14ac:dyDescent="0.2">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x14ac:dyDescent="0.2">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x14ac:dyDescent="0.2">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x14ac:dyDescent="0.2">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x14ac:dyDescent="0.2">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x14ac:dyDescent="0.2">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x14ac:dyDescent="0.2">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x14ac:dyDescent="0.2">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x14ac:dyDescent="0.2">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x14ac:dyDescent="0.2">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x14ac:dyDescent="0.2">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x14ac:dyDescent="0.2">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x14ac:dyDescent="0.2">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x14ac:dyDescent="0.2">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x14ac:dyDescent="0.2">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x14ac:dyDescent="0.2">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x14ac:dyDescent="0.2">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x14ac:dyDescent="0.2">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x14ac:dyDescent="0.2">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x14ac:dyDescent="0.2">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x14ac:dyDescent="0.2">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x14ac:dyDescent="0.2">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x14ac:dyDescent="0.2">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x14ac:dyDescent="0.2">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x14ac:dyDescent="0.2">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x14ac:dyDescent="0.2">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x14ac:dyDescent="0.2">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x14ac:dyDescent="0.2">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x14ac:dyDescent="0.2">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x14ac:dyDescent="0.2">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x14ac:dyDescent="0.2">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x14ac:dyDescent="0.2">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x14ac:dyDescent="0.2">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x14ac:dyDescent="0.2">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x14ac:dyDescent="0.2">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x14ac:dyDescent="0.2">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x14ac:dyDescent="0.2">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x14ac:dyDescent="0.2">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x14ac:dyDescent="0.2">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x14ac:dyDescent="0.2">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x14ac:dyDescent="0.2">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x14ac:dyDescent="0.2">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x14ac:dyDescent="0.2">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x14ac:dyDescent="0.2">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x14ac:dyDescent="0.2">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x14ac:dyDescent="0.2">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x14ac:dyDescent="0.2">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x14ac:dyDescent="0.2">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x14ac:dyDescent="0.2">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x14ac:dyDescent="0.2">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x14ac:dyDescent="0.2">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x14ac:dyDescent="0.2">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x14ac:dyDescent="0.2">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x14ac:dyDescent="0.2">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x14ac:dyDescent="0.2">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x14ac:dyDescent="0.2">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x14ac:dyDescent="0.2">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x14ac:dyDescent="0.2">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x14ac:dyDescent="0.2">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x14ac:dyDescent="0.2">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x14ac:dyDescent="0.2">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x14ac:dyDescent="0.2">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x14ac:dyDescent="0.2">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x14ac:dyDescent="0.2">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x14ac:dyDescent="0.2">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x14ac:dyDescent="0.2">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x14ac:dyDescent="0.2">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x14ac:dyDescent="0.2">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x14ac:dyDescent="0.2">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x14ac:dyDescent="0.2">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x14ac:dyDescent="0.2">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x14ac:dyDescent="0.2">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x14ac:dyDescent="0.2">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x14ac:dyDescent="0.2">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x14ac:dyDescent="0.2">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x14ac:dyDescent="0.2">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x14ac:dyDescent="0.2">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x14ac:dyDescent="0.2">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x14ac:dyDescent="0.2">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x14ac:dyDescent="0.2">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x14ac:dyDescent="0.2">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x14ac:dyDescent="0.2">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x14ac:dyDescent="0.2">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x14ac:dyDescent="0.2">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x14ac:dyDescent="0.2">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x14ac:dyDescent="0.2">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x14ac:dyDescent="0.2">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x14ac:dyDescent="0.2">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x14ac:dyDescent="0.2">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x14ac:dyDescent="0.2">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x14ac:dyDescent="0.2">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x14ac:dyDescent="0.2">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x14ac:dyDescent="0.2">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x14ac:dyDescent="0.2">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x14ac:dyDescent="0.2">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x14ac:dyDescent="0.2">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x14ac:dyDescent="0.2">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x14ac:dyDescent="0.2">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x14ac:dyDescent="0.2">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x14ac:dyDescent="0.2">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x14ac:dyDescent="0.2">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x14ac:dyDescent="0.2">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x14ac:dyDescent="0.2">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x14ac:dyDescent="0.2">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x14ac:dyDescent="0.2">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x14ac:dyDescent="0.2">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x14ac:dyDescent="0.2">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x14ac:dyDescent="0.2">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x14ac:dyDescent="0.2">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x14ac:dyDescent="0.2">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x14ac:dyDescent="0.2">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x14ac:dyDescent="0.2">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x14ac:dyDescent="0.2">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x14ac:dyDescent="0.2">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x14ac:dyDescent="0.2">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x14ac:dyDescent="0.2">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x14ac:dyDescent="0.2">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x14ac:dyDescent="0.2">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x14ac:dyDescent="0.2">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x14ac:dyDescent="0.2">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x14ac:dyDescent="0.2">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x14ac:dyDescent="0.2">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x14ac:dyDescent="0.2">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x14ac:dyDescent="0.2">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x14ac:dyDescent="0.2">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x14ac:dyDescent="0.2">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x14ac:dyDescent="0.2">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x14ac:dyDescent="0.2">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x14ac:dyDescent="0.2">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x14ac:dyDescent="0.2">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x14ac:dyDescent="0.2">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x14ac:dyDescent="0.2">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x14ac:dyDescent="0.2">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x14ac:dyDescent="0.2">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x14ac:dyDescent="0.2">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x14ac:dyDescent="0.2">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x14ac:dyDescent="0.2">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x14ac:dyDescent="0.2">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x14ac:dyDescent="0.2">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x14ac:dyDescent="0.2">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x14ac:dyDescent="0.2">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x14ac:dyDescent="0.2">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x14ac:dyDescent="0.2">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x14ac:dyDescent="0.2">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x14ac:dyDescent="0.2">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x14ac:dyDescent="0.2">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x14ac:dyDescent="0.2">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x14ac:dyDescent="0.2">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x14ac:dyDescent="0.2">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x14ac:dyDescent="0.2">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x14ac:dyDescent="0.2">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x14ac:dyDescent="0.2">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x14ac:dyDescent="0.2">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x14ac:dyDescent="0.2">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x14ac:dyDescent="0.2">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x14ac:dyDescent="0.2">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x14ac:dyDescent="0.2">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x14ac:dyDescent="0.2">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x14ac:dyDescent="0.2">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x14ac:dyDescent="0.2">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x14ac:dyDescent="0.2">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x14ac:dyDescent="0.2">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x14ac:dyDescent="0.2">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x14ac:dyDescent="0.2">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x14ac:dyDescent="0.2">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x14ac:dyDescent="0.2">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x14ac:dyDescent="0.2">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x14ac:dyDescent="0.2">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x14ac:dyDescent="0.2">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phoneticPr fontId="68" type="noConversion"/>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01" hidden="1" customWidth="1"/>
    <col min="2" max="2" width="15.7109375" style="701" customWidth="1"/>
    <col min="3" max="3" width="78.85546875" style="701" customWidth="1"/>
    <col min="4" max="6" width="15.7109375" style="701" customWidth="1"/>
    <col min="7" max="7" width="11.42578125" style="701"/>
    <col min="8" max="8" width="15.7109375" style="701" hidden="1" customWidth="1"/>
    <col min="9" max="16384" width="11.42578125" style="467"/>
  </cols>
  <sheetData>
    <row r="1" spans="1:8" hidden="1" x14ac:dyDescent="0.2">
      <c r="A1" s="701" t="s">
        <v>0</v>
      </c>
      <c r="F1" s="701" t="str">
        <f>IF(E1=" --- ","",COUNTIF($E1:E$3,E1)&amp;"_"&amp;E1)</f>
        <v>0_</v>
      </c>
      <c r="H1" s="701" t="s">
        <v>0</v>
      </c>
    </row>
    <row r="2" spans="1:8" hidden="1" x14ac:dyDescent="0.2">
      <c r="A2" s="701" t="s">
        <v>0</v>
      </c>
      <c r="C2" s="701" t="s">
        <v>1545</v>
      </c>
      <c r="D2" s="701" t="s">
        <v>1546</v>
      </c>
      <c r="F2" s="701" t="s">
        <v>1547</v>
      </c>
    </row>
    <row r="3" spans="1:8" s="468" customFormat="1" x14ac:dyDescent="0.2">
      <c r="A3" s="702" t="s">
        <v>1548</v>
      </c>
      <c r="B3" s="702" t="s">
        <v>1549</v>
      </c>
      <c r="C3" s="702" t="s">
        <v>1550</v>
      </c>
      <c r="D3" s="702" t="s">
        <v>1549</v>
      </c>
      <c r="E3" s="702" t="s">
        <v>1536</v>
      </c>
      <c r="F3" s="702" t="s">
        <v>1332</v>
      </c>
      <c r="G3" s="702"/>
      <c r="H3" s="803" t="s">
        <v>1551</v>
      </c>
    </row>
    <row r="4" spans="1:8" x14ac:dyDescent="0.2">
      <c r="A4" s="701" t="s">
        <v>1552</v>
      </c>
      <c r="B4" s="701" t="s">
        <v>489</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1553</v>
      </c>
    </row>
    <row r="5" spans="1:8" x14ac:dyDescent="0.2">
      <c r="A5" s="701" t="s">
        <v>1554</v>
      </c>
      <c r="B5" s="701" t="s">
        <v>490</v>
      </c>
      <c r="C5" s="701" t="str">
        <f>Translations!$B$695</f>
        <v>Cement clinkers</v>
      </c>
      <c r="D5" s="701" t="str">
        <f t="shared" ref="D5:D10" si="0">SUBSTITUTE(B5," ","")</f>
        <v>25231000</v>
      </c>
      <c r="E5" s="701" t="str">
        <f>Translations!$B$665</f>
        <v>Cement clinker</v>
      </c>
      <c r="F5" s="701" t="str">
        <f>IF(E5=" --- ","",COUNTIF($E$3:E5,E5)&amp;"_"&amp;E5)</f>
        <v>1_Cement clinker</v>
      </c>
      <c r="H5" s="804" t="s">
        <v>1555</v>
      </c>
    </row>
    <row r="6" spans="1:8" x14ac:dyDescent="0.2">
      <c r="A6" s="701" t="s">
        <v>1556</v>
      </c>
      <c r="B6" s="701" t="s">
        <v>491</v>
      </c>
      <c r="C6" s="701" t="str">
        <f>Translations!$B$696</f>
        <v>White portland cement, whether or not artificially coloured</v>
      </c>
      <c r="D6" s="701" t="str">
        <f t="shared" si="0"/>
        <v>25232100</v>
      </c>
      <c r="E6" s="701" t="str">
        <f>Translations!$B$664</f>
        <v>Cement</v>
      </c>
      <c r="F6" s="701" t="str">
        <f>IF(E6=" --- ","",COUNTIF($E$3:E6,E6)&amp;"_"&amp;E6)</f>
        <v>1_Cement</v>
      </c>
      <c r="H6" s="804" t="s">
        <v>1557</v>
      </c>
    </row>
    <row r="7" spans="1:8" x14ac:dyDescent="0.2">
      <c r="A7" s="701" t="s">
        <v>1558</v>
      </c>
      <c r="B7" s="701" t="s">
        <v>492</v>
      </c>
      <c r="C7" s="701" t="str">
        <f>Translations!$B$697</f>
        <v>Portland cement (excl. white, whether or not artificially coloured)</v>
      </c>
      <c r="D7" s="701" t="str">
        <f t="shared" si="0"/>
        <v>25232900</v>
      </c>
      <c r="E7" s="701" t="str">
        <f>Translations!$B$664</f>
        <v>Cement</v>
      </c>
      <c r="F7" s="701" t="str">
        <f>IF(E7=" --- ","",COUNTIF($E$3:E7,E7)&amp;"_"&amp;E7)</f>
        <v>2_Cement</v>
      </c>
      <c r="H7" s="804" t="s">
        <v>1559</v>
      </c>
    </row>
    <row r="8" spans="1:8" x14ac:dyDescent="0.2">
      <c r="A8" s="701" t="s">
        <v>1560</v>
      </c>
      <c r="B8" s="701" t="s">
        <v>493</v>
      </c>
      <c r="C8" s="701" t="str">
        <f>Translations!$B$667</f>
        <v>Aluminous cement</v>
      </c>
      <c r="D8" s="701" t="str">
        <f t="shared" si="0"/>
        <v>25233000</v>
      </c>
      <c r="E8" s="701" t="str">
        <f>Translations!$B$667</f>
        <v>Aluminous cement</v>
      </c>
      <c r="F8" s="701" t="str">
        <f>IF(E8=" --- ","",COUNTIF($E$3:E8,E8)&amp;"_"&amp;E8)</f>
        <v>1_Aluminous cement</v>
      </c>
      <c r="H8" s="804" t="s">
        <v>1561</v>
      </c>
    </row>
    <row r="9" spans="1:8" x14ac:dyDescent="0.2">
      <c r="A9" s="701" t="s">
        <v>1562</v>
      </c>
      <c r="B9" s="701" t="s">
        <v>494</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1563</v>
      </c>
    </row>
    <row r="10" spans="1:8" x14ac:dyDescent="0.2">
      <c r="A10" s="701" t="s">
        <v>1564</v>
      </c>
      <c r="B10" s="701" t="s">
        <v>495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1565</v>
      </c>
    </row>
    <row r="11" spans="1:8" x14ac:dyDescent="0.2">
      <c r="A11" s="701" t="s">
        <v>1566</v>
      </c>
      <c r="B11" s="701" t="s">
        <v>496</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1567</v>
      </c>
    </row>
    <row r="12" spans="1:8" x14ac:dyDescent="0.2">
      <c r="A12" s="701" t="s">
        <v>1568</v>
      </c>
      <c r="B12" s="701" t="s">
        <v>497</v>
      </c>
      <c r="C12" s="701" t="str">
        <f>Translations!$B$650</f>
        <v>Hydrogen</v>
      </c>
      <c r="D12" s="701" t="str">
        <f t="shared" si="1"/>
        <v>28041000</v>
      </c>
      <c r="E12" s="701" t="str">
        <f>Translations!$B$650</f>
        <v>Hydrogen</v>
      </c>
      <c r="F12" s="701" t="str">
        <f>IF(E12=" --- ","",COUNTIF($E$3:E12,E12)&amp;"_"&amp;E12)</f>
        <v>1_Hydrogen</v>
      </c>
      <c r="H12" s="804" t="s">
        <v>1569</v>
      </c>
    </row>
    <row r="13" spans="1:8" x14ac:dyDescent="0.2">
      <c r="A13" s="701" t="s">
        <v>1570</v>
      </c>
      <c r="B13" s="701" t="s">
        <v>498</v>
      </c>
      <c r="C13" s="701" t="str">
        <f>Translations!$B$701</f>
        <v>Nitric acid; sulphonitric acids</v>
      </c>
      <c r="D13" s="701" t="str">
        <f t="shared" si="1"/>
        <v>28080000</v>
      </c>
      <c r="E13" s="701" t="str">
        <f>Translations!$B$685</f>
        <v>Nitric acid</v>
      </c>
      <c r="F13" s="701" t="str">
        <f>IF(E13=" --- ","",COUNTIF($E$3:E13,E13)&amp;"_"&amp;E13)</f>
        <v>1_Nitric acid</v>
      </c>
      <c r="H13" s="804" t="s">
        <v>1571</v>
      </c>
    </row>
    <row r="14" spans="1:8" x14ac:dyDescent="0.2">
      <c r="A14" s="701" t="s">
        <v>1572</v>
      </c>
      <c r="B14" s="701" t="s">
        <v>499</v>
      </c>
      <c r="C14" s="701" t="str">
        <f>Translations!$B$702</f>
        <v>Ammonia, anhydrous or in aqueous solution</v>
      </c>
      <c r="D14" s="701" t="str">
        <f t="shared" si="1"/>
        <v>2814</v>
      </c>
      <c r="E14" s="701" t="str">
        <f>Translations!$B$682</f>
        <v>Ammonia</v>
      </c>
      <c r="F14" s="701" t="str">
        <f>IF(E14=" --- ","",COUNTIF($E$3:E14,E14)&amp;"_"&amp;E14)</f>
        <v>1_Ammonia</v>
      </c>
      <c r="H14" s="804" t="s">
        <v>1573</v>
      </c>
    </row>
    <row r="15" spans="1:8" x14ac:dyDescent="0.2">
      <c r="A15" s="701" t="s">
        <v>1574</v>
      </c>
      <c r="B15" s="701" t="s">
        <v>500</v>
      </c>
      <c r="C15" s="701" t="str">
        <f>Translations!$B$703</f>
        <v>Anhydrous ammonia</v>
      </c>
      <c r="D15" s="701" t="str">
        <f t="shared" si="1"/>
        <v>28141000</v>
      </c>
      <c r="E15" s="701" t="str">
        <f>Translations!$B$682</f>
        <v>Ammonia</v>
      </c>
      <c r="F15" s="701" t="str">
        <f>IF(E15=" --- ","",COUNTIF($E$3:E15,E15)&amp;"_"&amp;E15)</f>
        <v>2_Ammonia</v>
      </c>
      <c r="H15" s="804" t="s">
        <v>1575</v>
      </c>
    </row>
    <row r="16" spans="1:8" x14ac:dyDescent="0.2">
      <c r="A16" s="701" t="s">
        <v>1576</v>
      </c>
      <c r="B16" s="701" t="s">
        <v>501</v>
      </c>
      <c r="C16" s="701" t="str">
        <f>Translations!$B$704</f>
        <v>Ammonia in aqueous solution</v>
      </c>
      <c r="D16" s="701" t="str">
        <f t="shared" si="1"/>
        <v>28142000</v>
      </c>
      <c r="E16" s="701" t="str">
        <f>Translations!$B$682</f>
        <v>Ammonia</v>
      </c>
      <c r="F16" s="701" t="str">
        <f>IF(E16=" --- ","",COUNTIF($E$3:E16,E16)&amp;"_"&amp;E16)</f>
        <v>3_Ammonia</v>
      </c>
      <c r="H16" s="804" t="s">
        <v>1577</v>
      </c>
    </row>
    <row r="17" spans="1:8" x14ac:dyDescent="0.2">
      <c r="A17" s="701" t="s">
        <v>1578</v>
      </c>
      <c r="B17" s="701" t="s">
        <v>502</v>
      </c>
      <c r="C17" s="701" t="str">
        <f>Translations!$B$705</f>
        <v>Nitrate of potassium</v>
      </c>
      <c r="D17" s="701" t="str">
        <f t="shared" si="1"/>
        <v>28342100</v>
      </c>
      <c r="E17" s="701" t="str">
        <f>Translations!$B$687</f>
        <v>Mixed fertilizers</v>
      </c>
      <c r="F17" s="701" t="str">
        <f>IF(E17=" --- ","",COUNTIF($E$3:E17,E17)&amp;"_"&amp;E17)</f>
        <v>1_Mixed fertilizers</v>
      </c>
      <c r="H17" s="804" t="s">
        <v>1579</v>
      </c>
    </row>
    <row r="18" spans="1:8" x14ac:dyDescent="0.2">
      <c r="A18" s="701" t="s">
        <v>1580</v>
      </c>
      <c r="B18" s="701" t="s">
        <v>503</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1581</v>
      </c>
    </row>
    <row r="19" spans="1:8" x14ac:dyDescent="0.2">
      <c r="A19" s="701" t="s">
        <v>1582</v>
      </c>
      <c r="B19" s="701" t="s">
        <v>504</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1583</v>
      </c>
    </row>
    <row r="20" spans="1:8" x14ac:dyDescent="0.2">
      <c r="A20" s="701" t="s">
        <v>1584</v>
      </c>
      <c r="B20" s="701" t="s">
        <v>505</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1585</v>
      </c>
    </row>
    <row r="21" spans="1:8" x14ac:dyDescent="0.2">
      <c r="A21" s="701" t="s">
        <v>1586</v>
      </c>
      <c r="B21" s="701" t="s">
        <v>506</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1587</v>
      </c>
    </row>
    <row r="22" spans="1:8" x14ac:dyDescent="0.2">
      <c r="A22" s="701" t="s">
        <v>1588</v>
      </c>
      <c r="B22" s="701" t="s">
        <v>507</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1589</v>
      </c>
    </row>
    <row r="23" spans="1:8" x14ac:dyDescent="0.2">
      <c r="A23" s="701" t="s">
        <v>1590</v>
      </c>
      <c r="B23" s="701" t="s">
        <v>508</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1591</v>
      </c>
    </row>
    <row r="24" spans="1:8" x14ac:dyDescent="0.2">
      <c r="A24" s="701" t="s">
        <v>1592</v>
      </c>
      <c r="B24" s="701" t="s">
        <v>509</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1593</v>
      </c>
    </row>
    <row r="25" spans="1:8" x14ac:dyDescent="0.2">
      <c r="A25" s="701" t="s">
        <v>1594</v>
      </c>
      <c r="B25" s="701" t="s">
        <v>510</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1595</v>
      </c>
    </row>
    <row r="26" spans="1:8" x14ac:dyDescent="0.2">
      <c r="A26" s="701" t="s">
        <v>1596</v>
      </c>
      <c r="B26" s="701" t="s">
        <v>511</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1597</v>
      </c>
    </row>
    <row r="27" spans="1:8" x14ac:dyDescent="0.2">
      <c r="A27" s="701" t="s">
        <v>1598</v>
      </c>
      <c r="B27" s="701" t="s">
        <v>512</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1599</v>
      </c>
    </row>
    <row r="28" spans="1:8" x14ac:dyDescent="0.2">
      <c r="A28" s="701" t="s">
        <v>1600</v>
      </c>
      <c r="B28" s="701" t="s">
        <v>513</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1601</v>
      </c>
    </row>
    <row r="29" spans="1:8" x14ac:dyDescent="0.2">
      <c r="A29" s="701" t="s">
        <v>1602</v>
      </c>
      <c r="B29" s="701" t="s">
        <v>514</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1603</v>
      </c>
    </row>
    <row r="30" spans="1:8" x14ac:dyDescent="0.2">
      <c r="A30" s="701" t="s">
        <v>1604</v>
      </c>
      <c r="B30" s="701" t="s">
        <v>515</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1605</v>
      </c>
    </row>
    <row r="31" spans="1:8" x14ac:dyDescent="0.2">
      <c r="A31" s="701" t="s">
        <v>1606</v>
      </c>
      <c r="B31" s="701" t="s">
        <v>516</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1607</v>
      </c>
    </row>
    <row r="32" spans="1:8" x14ac:dyDescent="0.2">
      <c r="A32" s="701" t="s">
        <v>1608</v>
      </c>
      <c r="B32" s="701" t="s">
        <v>517</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1609</v>
      </c>
    </row>
    <row r="33" spans="1:8" x14ac:dyDescent="0.2">
      <c r="A33" s="701" t="s">
        <v>1610</v>
      </c>
      <c r="B33" s="701" t="s">
        <v>518</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1611</v>
      </c>
    </row>
    <row r="34" spans="1:8" x14ac:dyDescent="0.2">
      <c r="A34" s="701" t="s">
        <v>1612</v>
      </c>
      <c r="B34" s="701" t="s">
        <v>519</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1613</v>
      </c>
    </row>
    <row r="35" spans="1:8" x14ac:dyDescent="0.2">
      <c r="A35" s="701" t="s">
        <v>1614</v>
      </c>
      <c r="B35" s="701" t="s">
        <v>520</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1615</v>
      </c>
    </row>
    <row r="36" spans="1:8" x14ac:dyDescent="0.2">
      <c r="A36" s="701" t="s">
        <v>1616</v>
      </c>
      <c r="B36" s="701" t="s">
        <v>521</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1617</v>
      </c>
    </row>
    <row r="37" spans="1:8" x14ac:dyDescent="0.2">
      <c r="A37" s="701" t="s">
        <v>1618</v>
      </c>
      <c r="B37" s="701" t="s">
        <v>522</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1619</v>
      </c>
    </row>
    <row r="38" spans="1:8" x14ac:dyDescent="0.2">
      <c r="A38" s="701" t="s">
        <v>1620</v>
      </c>
      <c r="B38" s="701" t="s">
        <v>523</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1621</v>
      </c>
    </row>
    <row r="39" spans="1:8" x14ac:dyDescent="0.2">
      <c r="A39" s="701" t="s">
        <v>1622</v>
      </c>
      <c r="B39" s="701" t="s">
        <v>524</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1623</v>
      </c>
    </row>
    <row r="40" spans="1:8" x14ac:dyDescent="0.2">
      <c r="A40" s="701" t="s">
        <v>1624</v>
      </c>
      <c r="B40" s="701" t="s">
        <v>525</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1625</v>
      </c>
    </row>
    <row r="41" spans="1:8" x14ac:dyDescent="0.2">
      <c r="A41" s="701" t="s">
        <v>1626</v>
      </c>
      <c r="B41" s="701" t="s">
        <v>526</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1627</v>
      </c>
    </row>
    <row r="42" spans="1:8" x14ac:dyDescent="0.2">
      <c r="A42" s="701" t="s">
        <v>1628</v>
      </c>
      <c r="B42" s="701" t="s">
        <v>527</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1629</v>
      </c>
    </row>
    <row r="43" spans="1:8" x14ac:dyDescent="0.2">
      <c r="A43" s="701" t="s">
        <v>1630</v>
      </c>
      <c r="B43" s="701" t="s">
        <v>528</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1631</v>
      </c>
    </row>
    <row r="44" spans="1:8" x14ac:dyDescent="0.2">
      <c r="A44" s="701" t="s">
        <v>1632</v>
      </c>
      <c r="B44" s="701" t="s">
        <v>529</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1633</v>
      </c>
    </row>
    <row r="45" spans="1:8" x14ac:dyDescent="0.2">
      <c r="A45" s="701" t="s">
        <v>1634</v>
      </c>
      <c r="B45" s="701" t="s">
        <v>530</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1635</v>
      </c>
    </row>
    <row r="46" spans="1:8" x14ac:dyDescent="0.2">
      <c r="A46" s="701" t="s">
        <v>1636</v>
      </c>
      <c r="B46" s="701" t="s">
        <v>531</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1637</v>
      </c>
    </row>
    <row r="47" spans="1:8" x14ac:dyDescent="0.2">
      <c r="A47" s="701" t="s">
        <v>1638</v>
      </c>
      <c r="B47" s="701" t="s">
        <v>532</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1639</v>
      </c>
    </row>
    <row r="48" spans="1:8" x14ac:dyDescent="0.2">
      <c r="A48" s="701" t="s">
        <v>1640</v>
      </c>
      <c r="B48" s="701" t="s">
        <v>533</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1641</v>
      </c>
    </row>
    <row r="49" spans="1:8" x14ac:dyDescent="0.2">
      <c r="A49" s="701" t="s">
        <v>1642</v>
      </c>
      <c r="B49" s="701" t="s">
        <v>534</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1643</v>
      </c>
    </row>
    <row r="50" spans="1:8" x14ac:dyDescent="0.2">
      <c r="A50" s="701" t="s">
        <v>1644</v>
      </c>
      <c r="B50" s="701" t="s">
        <v>535</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1645</v>
      </c>
    </row>
    <row r="51" spans="1:8" x14ac:dyDescent="0.2">
      <c r="A51" s="701" t="s">
        <v>1646</v>
      </c>
      <c r="B51" s="701" t="s">
        <v>536</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1647</v>
      </c>
    </row>
    <row r="52" spans="1:8" x14ac:dyDescent="0.2">
      <c r="A52" s="701" t="s">
        <v>1648</v>
      </c>
      <c r="B52" s="701" t="s">
        <v>537</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1649</v>
      </c>
    </row>
    <row r="53" spans="1:8" x14ac:dyDescent="0.2">
      <c r="A53" s="701" t="s">
        <v>1650</v>
      </c>
      <c r="B53" s="701" t="s">
        <v>538</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1651</v>
      </c>
    </row>
    <row r="54" spans="1:8" x14ac:dyDescent="0.2">
      <c r="A54" s="701" t="s">
        <v>1652</v>
      </c>
      <c r="B54" s="701" t="s">
        <v>539</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1653</v>
      </c>
    </row>
    <row r="55" spans="1:8" x14ac:dyDescent="0.2">
      <c r="A55" s="701" t="s">
        <v>1654</v>
      </c>
      <c r="B55" s="701" t="s">
        <v>540</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1655</v>
      </c>
    </row>
    <row r="56" spans="1:8" x14ac:dyDescent="0.2">
      <c r="A56" s="701" t="s">
        <v>1656</v>
      </c>
      <c r="B56" s="701" t="s">
        <v>541</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1657</v>
      </c>
    </row>
    <row r="57" spans="1:8" x14ac:dyDescent="0.2">
      <c r="A57" s="701" t="s">
        <v>1658</v>
      </c>
      <c r="B57" s="701" t="s">
        <v>542</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1659</v>
      </c>
    </row>
    <row r="58" spans="1:8" x14ac:dyDescent="0.2">
      <c r="A58" s="701" t="s">
        <v>1660</v>
      </c>
      <c r="B58" s="701" t="s">
        <v>543</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1661</v>
      </c>
    </row>
    <row r="59" spans="1:8" x14ac:dyDescent="0.2">
      <c r="A59" s="701" t="s">
        <v>1662</v>
      </c>
      <c r="B59" s="701" t="s">
        <v>544</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1663</v>
      </c>
    </row>
    <row r="60" spans="1:8" x14ac:dyDescent="0.2">
      <c r="A60" s="701" t="s">
        <v>1664</v>
      </c>
      <c r="B60" s="701" t="s">
        <v>545</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1665</v>
      </c>
    </row>
    <row r="61" spans="1:8" x14ac:dyDescent="0.2">
      <c r="A61" s="701" t="s">
        <v>1666</v>
      </c>
      <c r="B61" s="701" t="s">
        <v>546</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1667</v>
      </c>
    </row>
    <row r="62" spans="1:8" x14ac:dyDescent="0.2">
      <c r="A62" s="701" t="s">
        <v>1668</v>
      </c>
      <c r="B62" s="701" t="s">
        <v>547</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1669</v>
      </c>
    </row>
    <row r="63" spans="1:8" x14ac:dyDescent="0.2">
      <c r="A63" s="701" t="s">
        <v>1670</v>
      </c>
      <c r="B63" s="701" t="s">
        <v>548</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1671</v>
      </c>
    </row>
    <row r="64" spans="1:8" x14ac:dyDescent="0.2">
      <c r="A64" s="701" t="s">
        <v>1672</v>
      </c>
      <c r="B64" s="701" t="s">
        <v>549</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1673</v>
      </c>
    </row>
    <row r="65" spans="1:8" x14ac:dyDescent="0.2">
      <c r="A65" s="701" t="s">
        <v>1674</v>
      </c>
      <c r="B65" s="701" t="s">
        <v>550</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1675</v>
      </c>
    </row>
    <row r="66" spans="1:8" x14ac:dyDescent="0.2">
      <c r="A66" s="701" t="s">
        <v>1676</v>
      </c>
      <c r="B66" s="701" t="s">
        <v>551</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1677</v>
      </c>
    </row>
    <row r="67" spans="1:8" x14ac:dyDescent="0.2">
      <c r="A67" s="701" t="s">
        <v>1678</v>
      </c>
      <c r="B67" s="701" t="s">
        <v>552</v>
      </c>
      <c r="C67" s="701" t="str">
        <f>Translations!$B$755</f>
        <v>Ferro-nickel</v>
      </c>
      <c r="D67" s="701" t="str">
        <f t="shared" si="4"/>
        <v>72026000</v>
      </c>
      <c r="E67" s="701" t="str">
        <f>Translations!$B$677</f>
        <v>Alloys (FeMn, FeCr, FeNi)</v>
      </c>
      <c r="F67" s="701" t="str">
        <f>IF(E67=" --- ","",COUNTIF($E$3:E67,E67)&amp;"_"&amp;E67)</f>
        <v>12_Alloys (FeMn, FeCr, FeNi)</v>
      </c>
      <c r="H67" s="804" t="s">
        <v>1679</v>
      </c>
    </row>
    <row r="68" spans="1:8" x14ac:dyDescent="0.2">
      <c r="A68" s="701" t="s">
        <v>1680</v>
      </c>
      <c r="B68" s="701" t="s">
        <v>553</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1681</v>
      </c>
    </row>
    <row r="69" spans="1:8" x14ac:dyDescent="0.2">
      <c r="A69" s="701" t="s">
        <v>1682</v>
      </c>
      <c r="B69" s="701" t="s">
        <v>554</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1683</v>
      </c>
    </row>
    <row r="70" spans="1:8" x14ac:dyDescent="0.2">
      <c r="A70" s="701" t="s">
        <v>1684</v>
      </c>
      <c r="B70" s="701" t="s">
        <v>555</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1685</v>
      </c>
    </row>
    <row r="71" spans="1:8" x14ac:dyDescent="0.2">
      <c r="A71" s="701" t="s">
        <v>1686</v>
      </c>
      <c r="B71" s="701" t="s">
        <v>556</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1687</v>
      </c>
    </row>
    <row r="72" spans="1:8" x14ac:dyDescent="0.2">
      <c r="A72" s="701" t="s">
        <v>1688</v>
      </c>
      <c r="B72" s="701" t="s">
        <v>557</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1689</v>
      </c>
    </row>
    <row r="73" spans="1:8" x14ac:dyDescent="0.2">
      <c r="A73" s="701" t="s">
        <v>1690</v>
      </c>
      <c r="B73" s="701" t="s">
        <v>558</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1691</v>
      </c>
    </row>
    <row r="74" spans="1:8" x14ac:dyDescent="0.2">
      <c r="A74" s="701" t="s">
        <v>1692</v>
      </c>
      <c r="B74" s="701" t="s">
        <v>559</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1693</v>
      </c>
    </row>
    <row r="75" spans="1:8" x14ac:dyDescent="0.2">
      <c r="A75" s="701" t="s">
        <v>1694</v>
      </c>
      <c r="B75" s="701" t="s">
        <v>560</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1695</v>
      </c>
    </row>
    <row r="76" spans="1:8" x14ac:dyDescent="0.2">
      <c r="A76" s="701" t="s">
        <v>1696</v>
      </c>
      <c r="B76" s="701" t="s">
        <v>561</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1697</v>
      </c>
    </row>
    <row r="77" spans="1:8" x14ac:dyDescent="0.2">
      <c r="A77" s="701" t="s">
        <v>1698</v>
      </c>
      <c r="B77" s="701" t="s">
        <v>562</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1699</v>
      </c>
    </row>
    <row r="78" spans="1:8" x14ac:dyDescent="0.2">
      <c r="A78" s="701" t="s">
        <v>1700</v>
      </c>
      <c r="B78" s="701" t="s">
        <v>563</v>
      </c>
      <c r="C78" s="701" t="str">
        <f>Translations!$B$766</f>
        <v>Semi-finished products of iron or non-alloy steel</v>
      </c>
      <c r="D78" s="701" t="str">
        <f t="shared" si="5"/>
        <v>7207</v>
      </c>
      <c r="E78" s="701" t="str">
        <f>Translations!$B$668</f>
        <v>Crude steel</v>
      </c>
      <c r="F78" s="701" t="str">
        <f>IF(E78=" --- ","",COUNTIF($E$3:E78,E78)&amp;"_"&amp;E78)</f>
        <v>4_Crude steel</v>
      </c>
      <c r="H78" s="804" t="s">
        <v>1701</v>
      </c>
    </row>
    <row r="79" spans="1:8" x14ac:dyDescent="0.2">
      <c r="A79" s="701" t="s">
        <v>1702</v>
      </c>
      <c r="B79" s="701" t="s">
        <v>564</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1703</v>
      </c>
    </row>
    <row r="80" spans="1:8" x14ac:dyDescent="0.2">
      <c r="A80" s="701" t="s">
        <v>1704</v>
      </c>
      <c r="B80" s="701" t="s">
        <v>565</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1705</v>
      </c>
    </row>
    <row r="81" spans="1:8" x14ac:dyDescent="0.2">
      <c r="A81" s="701" t="s">
        <v>1706</v>
      </c>
      <c r="B81" s="701" t="s">
        <v>566</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1707</v>
      </c>
    </row>
    <row r="82" spans="1:8" x14ac:dyDescent="0.2">
      <c r="A82" s="701" t="s">
        <v>1708</v>
      </c>
      <c r="B82" s="701" t="s">
        <v>567</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1709</v>
      </c>
    </row>
    <row r="83" spans="1:8" x14ac:dyDescent="0.2">
      <c r="A83" s="701" t="s">
        <v>1710</v>
      </c>
      <c r="B83" s="701" t="s">
        <v>568</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1711</v>
      </c>
    </row>
    <row r="84" spans="1:8" x14ac:dyDescent="0.2">
      <c r="A84" s="701" t="s">
        <v>1712</v>
      </c>
      <c r="B84" s="701" t="s">
        <v>569</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1713</v>
      </c>
    </row>
    <row r="85" spans="1:8" x14ac:dyDescent="0.2">
      <c r="A85" s="701" t="s">
        <v>1714</v>
      </c>
      <c r="B85" s="701" t="s">
        <v>570</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1715</v>
      </c>
    </row>
    <row r="86" spans="1:8" x14ac:dyDescent="0.2">
      <c r="A86" s="701" t="s">
        <v>1716</v>
      </c>
      <c r="B86" s="701" t="s">
        <v>571</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1717</v>
      </c>
    </row>
    <row r="87" spans="1:8" x14ac:dyDescent="0.2">
      <c r="A87" s="701" t="s">
        <v>1718</v>
      </c>
      <c r="B87" s="701" t="s">
        <v>572</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1719</v>
      </c>
    </row>
    <row r="88" spans="1:8" x14ac:dyDescent="0.2">
      <c r="A88" s="701" t="s">
        <v>1720</v>
      </c>
      <c r="B88" s="701" t="s">
        <v>573</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1721</v>
      </c>
    </row>
    <row r="89" spans="1:8" x14ac:dyDescent="0.2">
      <c r="A89" s="701" t="s">
        <v>1722</v>
      </c>
      <c r="B89" s="701" t="s">
        <v>574</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1723</v>
      </c>
    </row>
    <row r="90" spans="1:8" x14ac:dyDescent="0.2">
      <c r="A90" s="701" t="s">
        <v>1724</v>
      </c>
      <c r="B90" s="701" t="s">
        <v>575</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1725</v>
      </c>
    </row>
    <row r="91" spans="1:8" x14ac:dyDescent="0.2">
      <c r="A91" s="701" t="s">
        <v>1726</v>
      </c>
      <c r="B91" s="701" t="s">
        <v>576</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1727</v>
      </c>
    </row>
    <row r="92" spans="1:8" x14ac:dyDescent="0.2">
      <c r="A92" s="701" t="s">
        <v>1728</v>
      </c>
      <c r="B92" s="701" t="s">
        <v>577</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1729</v>
      </c>
    </row>
    <row r="93" spans="1:8" x14ac:dyDescent="0.2">
      <c r="A93" s="701" t="s">
        <v>1730</v>
      </c>
      <c r="B93" s="701" t="s">
        <v>578</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1731</v>
      </c>
    </row>
    <row r="94" spans="1:8" x14ac:dyDescent="0.2">
      <c r="A94" s="701" t="s">
        <v>1732</v>
      </c>
      <c r="B94" s="701" t="s">
        <v>579</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1733</v>
      </c>
    </row>
    <row r="95" spans="1:8" x14ac:dyDescent="0.2">
      <c r="A95" s="701" t="s">
        <v>1734</v>
      </c>
      <c r="B95" s="701" t="s">
        <v>580</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1735</v>
      </c>
    </row>
    <row r="96" spans="1:8" x14ac:dyDescent="0.2">
      <c r="A96" s="701" t="s">
        <v>1736</v>
      </c>
      <c r="B96" s="701" t="s">
        <v>581</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1737</v>
      </c>
    </row>
    <row r="97" spans="1:8" x14ac:dyDescent="0.2">
      <c r="A97" s="701" t="s">
        <v>1738</v>
      </c>
      <c r="B97" s="701" t="s">
        <v>582</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1739</v>
      </c>
    </row>
    <row r="98" spans="1:8" x14ac:dyDescent="0.2">
      <c r="A98" s="701" t="s">
        <v>1740</v>
      </c>
      <c r="B98" s="701" t="s">
        <v>583</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1741</v>
      </c>
    </row>
    <row r="99" spans="1:8" x14ac:dyDescent="0.2">
      <c r="A99" s="701" t="s">
        <v>1742</v>
      </c>
      <c r="B99" s="701" t="s">
        <v>584</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1743</v>
      </c>
    </row>
    <row r="100" spans="1:8" x14ac:dyDescent="0.2">
      <c r="A100" s="701" t="s">
        <v>1744</v>
      </c>
      <c r="B100" s="701" t="s">
        <v>585</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1745</v>
      </c>
    </row>
    <row r="101" spans="1:8" x14ac:dyDescent="0.2">
      <c r="A101" s="701" t="s">
        <v>1746</v>
      </c>
      <c r="B101" s="701" t="s">
        <v>586</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1747</v>
      </c>
    </row>
    <row r="102" spans="1:8" x14ac:dyDescent="0.2">
      <c r="A102" s="701" t="s">
        <v>1748</v>
      </c>
      <c r="B102" s="701" t="s">
        <v>587</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1749</v>
      </c>
    </row>
    <row r="103" spans="1:8" x14ac:dyDescent="0.2">
      <c r="A103" s="701" t="s">
        <v>1750</v>
      </c>
      <c r="B103" s="701" t="s">
        <v>588</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1751</v>
      </c>
    </row>
    <row r="104" spans="1:8" x14ac:dyDescent="0.2">
      <c r="A104" s="701" t="s">
        <v>1752</v>
      </c>
      <c r="B104" s="701" t="s">
        <v>589</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1753</v>
      </c>
    </row>
    <row r="105" spans="1:8" x14ac:dyDescent="0.2">
      <c r="A105" s="701" t="s">
        <v>1754</v>
      </c>
      <c r="B105" s="701" t="s">
        <v>590</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1755</v>
      </c>
    </row>
    <row r="106" spans="1:8" x14ac:dyDescent="0.2">
      <c r="A106" s="701" t="s">
        <v>1756</v>
      </c>
      <c r="B106" s="701" t="s">
        <v>591</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1757</v>
      </c>
    </row>
    <row r="107" spans="1:8" x14ac:dyDescent="0.2">
      <c r="A107" s="701" t="s">
        <v>1758</v>
      </c>
      <c r="B107" s="701" t="s">
        <v>592</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1759</v>
      </c>
    </row>
    <row r="108" spans="1:8" x14ac:dyDescent="0.2">
      <c r="A108" s="701" t="s">
        <v>1760</v>
      </c>
      <c r="B108" s="701" t="s">
        <v>593</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1761</v>
      </c>
    </row>
    <row r="109" spans="1:8" x14ac:dyDescent="0.2">
      <c r="A109" s="701" t="s">
        <v>1762</v>
      </c>
      <c r="B109" s="701" t="s">
        <v>594</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1763</v>
      </c>
    </row>
    <row r="110" spans="1:8" x14ac:dyDescent="0.2">
      <c r="A110" s="701" t="s">
        <v>1764</v>
      </c>
      <c r="B110" s="701" t="s">
        <v>595</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1765</v>
      </c>
    </row>
    <row r="111" spans="1:8" x14ac:dyDescent="0.2">
      <c r="A111" s="701" t="s">
        <v>1766</v>
      </c>
      <c r="B111" s="701" t="s">
        <v>596</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1767</v>
      </c>
    </row>
    <row r="112" spans="1:8" x14ac:dyDescent="0.2">
      <c r="A112" s="701" t="s">
        <v>1768</v>
      </c>
      <c r="B112" s="701" t="s">
        <v>597</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1769</v>
      </c>
    </row>
    <row r="113" spans="1:8" x14ac:dyDescent="0.2">
      <c r="A113" s="701" t="s">
        <v>1770</v>
      </c>
      <c r="B113" s="701" t="s">
        <v>598</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1771</v>
      </c>
    </row>
    <row r="114" spans="1:8" x14ac:dyDescent="0.2">
      <c r="A114" s="701" t="s">
        <v>1772</v>
      </c>
      <c r="B114" s="701" t="s">
        <v>599</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1773</v>
      </c>
    </row>
    <row r="115" spans="1:8" x14ac:dyDescent="0.2">
      <c r="A115" s="701" t="s">
        <v>1774</v>
      </c>
      <c r="B115" s="701" t="s">
        <v>600</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1775</v>
      </c>
    </row>
    <row r="116" spans="1:8" x14ac:dyDescent="0.2">
      <c r="A116" s="701" t="s">
        <v>1776</v>
      </c>
      <c r="B116" s="701" t="s">
        <v>601</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1777</v>
      </c>
    </row>
    <row r="117" spans="1:8" x14ac:dyDescent="0.2">
      <c r="A117" s="701" t="s">
        <v>1778</v>
      </c>
      <c r="B117" s="701" t="s">
        <v>602</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1779</v>
      </c>
    </row>
    <row r="118" spans="1:8" x14ac:dyDescent="0.2">
      <c r="A118" s="701" t="s">
        <v>1780</v>
      </c>
      <c r="B118" s="701" t="s">
        <v>603</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1781</v>
      </c>
    </row>
    <row r="119" spans="1:8" x14ac:dyDescent="0.2">
      <c r="A119" s="701" t="s">
        <v>1782</v>
      </c>
      <c r="B119" s="701" t="s">
        <v>604</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1783</v>
      </c>
    </row>
    <row r="120" spans="1:8" x14ac:dyDescent="0.2">
      <c r="A120" s="701" t="s">
        <v>1784</v>
      </c>
      <c r="B120" s="701" t="s">
        <v>605</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1785</v>
      </c>
    </row>
    <row r="121" spans="1:8" x14ac:dyDescent="0.2">
      <c r="A121" s="701" t="s">
        <v>1786</v>
      </c>
      <c r="B121" s="701" t="s">
        <v>606</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1787</v>
      </c>
    </row>
    <row r="122" spans="1:8" x14ac:dyDescent="0.2">
      <c r="A122" s="701" t="s">
        <v>1788</v>
      </c>
      <c r="B122" s="701" t="s">
        <v>607</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1789</v>
      </c>
    </row>
    <row r="123" spans="1:8" x14ac:dyDescent="0.2">
      <c r="A123" s="701" t="s">
        <v>1790</v>
      </c>
      <c r="B123" s="701" t="s">
        <v>608</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1791</v>
      </c>
    </row>
    <row r="124" spans="1:8" x14ac:dyDescent="0.2">
      <c r="A124" s="701" t="s">
        <v>1792</v>
      </c>
      <c r="B124" s="701" t="s">
        <v>609</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1793</v>
      </c>
    </row>
    <row r="125" spans="1:8" x14ac:dyDescent="0.2">
      <c r="A125" s="701" t="s">
        <v>1794</v>
      </c>
      <c r="B125" s="701" t="s">
        <v>610</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1795</v>
      </c>
    </row>
    <row r="126" spans="1:8" x14ac:dyDescent="0.2">
      <c r="A126" s="701" t="s">
        <v>1796</v>
      </c>
      <c r="B126" s="701" t="s">
        <v>611</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1797</v>
      </c>
    </row>
    <row r="127" spans="1:8" x14ac:dyDescent="0.2">
      <c r="A127" s="701" t="s">
        <v>1798</v>
      </c>
      <c r="B127" s="701" t="s">
        <v>612</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1799</v>
      </c>
    </row>
    <row r="128" spans="1:8" x14ac:dyDescent="0.2">
      <c r="A128" s="701" t="s">
        <v>1800</v>
      </c>
      <c r="B128" s="701" t="s">
        <v>613</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1801</v>
      </c>
    </row>
    <row r="129" spans="1:8" x14ac:dyDescent="0.2">
      <c r="A129" s="701" t="s">
        <v>1802</v>
      </c>
      <c r="B129" s="701" t="s">
        <v>614</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1803</v>
      </c>
    </row>
    <row r="130" spans="1:8" x14ac:dyDescent="0.2">
      <c r="A130" s="701" t="s">
        <v>1804</v>
      </c>
      <c r="B130" s="701" t="s">
        <v>615</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1805</v>
      </c>
    </row>
    <row r="131" spans="1:8" x14ac:dyDescent="0.2">
      <c r="A131" s="701" t="s">
        <v>1806</v>
      </c>
      <c r="B131" s="701" t="s">
        <v>616</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1807</v>
      </c>
    </row>
    <row r="132" spans="1:8" x14ac:dyDescent="0.2">
      <c r="A132" s="701" t="s">
        <v>1808</v>
      </c>
      <c r="B132" s="701" t="s">
        <v>617</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1809</v>
      </c>
    </row>
    <row r="133" spans="1:8" x14ac:dyDescent="0.2">
      <c r="A133" s="701" t="s">
        <v>1810</v>
      </c>
      <c r="B133" s="701" t="s">
        <v>618</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1811</v>
      </c>
    </row>
    <row r="134" spans="1:8" x14ac:dyDescent="0.2">
      <c r="A134" s="701" t="s">
        <v>1812</v>
      </c>
      <c r="B134" s="701" t="s">
        <v>619</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1813</v>
      </c>
    </row>
    <row r="135" spans="1:8" x14ac:dyDescent="0.2">
      <c r="A135" s="701" t="s">
        <v>1814</v>
      </c>
      <c r="B135" s="701" t="s">
        <v>620</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1815</v>
      </c>
    </row>
    <row r="136" spans="1:8" x14ac:dyDescent="0.2">
      <c r="A136" s="701" t="s">
        <v>1816</v>
      </c>
      <c r="B136" s="701" t="s">
        <v>621</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1817</v>
      </c>
    </row>
    <row r="137" spans="1:8" x14ac:dyDescent="0.2">
      <c r="A137" s="701" t="s">
        <v>1818</v>
      </c>
      <c r="B137" s="701" t="s">
        <v>622</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1819</v>
      </c>
    </row>
    <row r="138" spans="1:8" x14ac:dyDescent="0.2">
      <c r="A138" s="701" t="s">
        <v>1820</v>
      </c>
      <c r="B138" s="701" t="s">
        <v>623</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1821</v>
      </c>
    </row>
    <row r="139" spans="1:8" x14ac:dyDescent="0.2">
      <c r="A139" s="701" t="s">
        <v>1822</v>
      </c>
      <c r="B139" s="701" t="s">
        <v>624</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1823</v>
      </c>
    </row>
    <row r="140" spans="1:8" x14ac:dyDescent="0.2">
      <c r="A140" s="701" t="s">
        <v>1824</v>
      </c>
      <c r="B140" s="701" t="s">
        <v>625</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1825</v>
      </c>
    </row>
    <row r="141" spans="1:8" x14ac:dyDescent="0.2">
      <c r="A141" s="701" t="s">
        <v>1826</v>
      </c>
      <c r="B141" s="701" t="s">
        <v>626</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1827</v>
      </c>
    </row>
    <row r="142" spans="1:8" x14ac:dyDescent="0.2">
      <c r="A142" s="701" t="s">
        <v>1828</v>
      </c>
      <c r="B142" s="701" t="s">
        <v>627</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1829</v>
      </c>
    </row>
    <row r="143" spans="1:8" x14ac:dyDescent="0.2">
      <c r="A143" s="701" t="s">
        <v>1830</v>
      </c>
      <c r="B143" s="701" t="s">
        <v>628</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1831</v>
      </c>
    </row>
    <row r="144" spans="1:8" x14ac:dyDescent="0.2">
      <c r="A144" s="701" t="s">
        <v>1832</v>
      </c>
      <c r="B144" s="701" t="s">
        <v>629</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1833</v>
      </c>
    </row>
    <row r="145" spans="1:8" x14ac:dyDescent="0.2">
      <c r="A145" s="701" t="s">
        <v>1834</v>
      </c>
      <c r="B145" s="701" t="s">
        <v>630</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1835</v>
      </c>
    </row>
    <row r="146" spans="1:8" x14ac:dyDescent="0.2">
      <c r="A146" s="701" t="s">
        <v>1836</v>
      </c>
      <c r="B146" s="701" t="s">
        <v>631</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1837</v>
      </c>
    </row>
    <row r="147" spans="1:8" x14ac:dyDescent="0.2">
      <c r="A147" s="701" t="s">
        <v>1838</v>
      </c>
      <c r="B147" s="701" t="s">
        <v>632</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1839</v>
      </c>
    </row>
    <row r="148" spans="1:8" x14ac:dyDescent="0.2">
      <c r="A148" s="701" t="s">
        <v>1840</v>
      </c>
      <c r="B148" s="701" t="s">
        <v>633</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1841</v>
      </c>
    </row>
    <row r="149" spans="1:8" x14ac:dyDescent="0.2">
      <c r="A149" s="701" t="s">
        <v>1842</v>
      </c>
      <c r="B149" s="701" t="s">
        <v>634</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1843</v>
      </c>
    </row>
    <row r="150" spans="1:8" x14ac:dyDescent="0.2">
      <c r="A150" s="701" t="s">
        <v>1844</v>
      </c>
      <c r="B150" s="701" t="s">
        <v>635</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1845</v>
      </c>
    </row>
    <row r="151" spans="1:8" x14ac:dyDescent="0.2">
      <c r="A151" s="701" t="s">
        <v>1846</v>
      </c>
      <c r="B151" s="701" t="s">
        <v>636</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1847</v>
      </c>
    </row>
    <row r="152" spans="1:8" x14ac:dyDescent="0.2">
      <c r="A152" s="701" t="s">
        <v>1848</v>
      </c>
      <c r="B152" s="701" t="s">
        <v>637</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1849</v>
      </c>
    </row>
    <row r="153" spans="1:8" x14ac:dyDescent="0.2">
      <c r="A153" s="701" t="s">
        <v>1850</v>
      </c>
      <c r="B153" s="701" t="s">
        <v>638</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1851</v>
      </c>
    </row>
    <row r="154" spans="1:8" x14ac:dyDescent="0.2">
      <c r="A154" s="701" t="s">
        <v>1852</v>
      </c>
      <c r="B154" s="701" t="s">
        <v>639</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1853</v>
      </c>
    </row>
    <row r="155" spans="1:8" x14ac:dyDescent="0.2">
      <c r="A155" s="701" t="s">
        <v>1854</v>
      </c>
      <c r="B155" s="701" t="s">
        <v>640</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1855</v>
      </c>
    </row>
    <row r="156" spans="1:8" x14ac:dyDescent="0.2">
      <c r="A156" s="701" t="s">
        <v>1856</v>
      </c>
      <c r="B156" s="701" t="s">
        <v>641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1857</v>
      </c>
    </row>
    <row r="157" spans="1:8" x14ac:dyDescent="0.2">
      <c r="A157" s="701" t="s">
        <v>1858</v>
      </c>
      <c r="B157" s="701" t="s">
        <v>642</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1859</v>
      </c>
    </row>
    <row r="158" spans="1:8" x14ac:dyDescent="0.2">
      <c r="A158" s="701" t="s">
        <v>1860</v>
      </c>
      <c r="B158" s="701" t="s">
        <v>643</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1861</v>
      </c>
    </row>
    <row r="159" spans="1:8" x14ac:dyDescent="0.2">
      <c r="A159" s="701" t="s">
        <v>1862</v>
      </c>
      <c r="B159" s="701" t="s">
        <v>644</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1863</v>
      </c>
    </row>
    <row r="160" spans="1:8" x14ac:dyDescent="0.2">
      <c r="A160" s="701" t="s">
        <v>1864</v>
      </c>
      <c r="B160" s="701" t="s">
        <v>645</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1865</v>
      </c>
    </row>
    <row r="161" spans="1:8" x14ac:dyDescent="0.2">
      <c r="A161" s="701" t="s">
        <v>1866</v>
      </c>
      <c r="B161" s="701" t="s">
        <v>646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1867</v>
      </c>
    </row>
    <row r="162" spans="1:8" x14ac:dyDescent="0.2">
      <c r="A162" s="701" t="s">
        <v>1868</v>
      </c>
      <c r="B162" s="701" t="s">
        <v>647</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1869</v>
      </c>
    </row>
    <row r="163" spans="1:8" x14ac:dyDescent="0.2">
      <c r="A163" s="701" t="s">
        <v>1870</v>
      </c>
      <c r="B163" s="701" t="s">
        <v>648</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1871</v>
      </c>
    </row>
    <row r="164" spans="1:8" x14ac:dyDescent="0.2">
      <c r="A164" s="701" t="s">
        <v>1872</v>
      </c>
      <c r="B164" s="701" t="s">
        <v>649</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1873</v>
      </c>
    </row>
    <row r="165" spans="1:8" x14ac:dyDescent="0.2">
      <c r="A165" s="701" t="s">
        <v>1874</v>
      </c>
      <c r="B165" s="701" t="s">
        <v>650</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1875</v>
      </c>
    </row>
    <row r="166" spans="1:8" x14ac:dyDescent="0.2">
      <c r="A166" s="701" t="s">
        <v>1876</v>
      </c>
      <c r="B166" s="701" t="s">
        <v>651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1877</v>
      </c>
    </row>
    <row r="167" spans="1:8" x14ac:dyDescent="0.2">
      <c r="A167" s="701" t="s">
        <v>1878</v>
      </c>
      <c r="B167" s="701" t="s">
        <v>652</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1879</v>
      </c>
    </row>
    <row r="168" spans="1:8" x14ac:dyDescent="0.2">
      <c r="A168" s="701" t="s">
        <v>1880</v>
      </c>
      <c r="B168" s="701" t="s">
        <v>653</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1881</v>
      </c>
    </row>
    <row r="169" spans="1:8" x14ac:dyDescent="0.2">
      <c r="A169" s="701" t="s">
        <v>1882</v>
      </c>
      <c r="B169" s="701" t="s">
        <v>654</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1883</v>
      </c>
    </row>
    <row r="170" spans="1:8" x14ac:dyDescent="0.2">
      <c r="A170" s="701" t="s">
        <v>1884</v>
      </c>
      <c r="B170" s="701" t="s">
        <v>655</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1885</v>
      </c>
    </row>
    <row r="171" spans="1:8" x14ac:dyDescent="0.2">
      <c r="A171" s="701" t="s">
        <v>1886</v>
      </c>
      <c r="B171" s="701" t="s">
        <v>656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1887</v>
      </c>
    </row>
    <row r="172" spans="1:8" x14ac:dyDescent="0.2">
      <c r="A172" s="701" t="s">
        <v>1888</v>
      </c>
      <c r="B172" s="701" t="s">
        <v>657</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1889</v>
      </c>
    </row>
    <row r="173" spans="1:8" x14ac:dyDescent="0.2">
      <c r="A173" s="701" t="s">
        <v>1890</v>
      </c>
      <c r="B173" s="701" t="s">
        <v>658</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1891</v>
      </c>
    </row>
    <row r="174" spans="1:8" x14ac:dyDescent="0.2">
      <c r="A174" s="701" t="s">
        <v>1892</v>
      </c>
      <c r="B174" s="701" t="s">
        <v>659</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1893</v>
      </c>
    </row>
    <row r="175" spans="1:8" x14ac:dyDescent="0.2">
      <c r="A175" s="701" t="s">
        <v>1894</v>
      </c>
      <c r="B175" s="701" t="s">
        <v>660</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1895</v>
      </c>
    </row>
    <row r="176" spans="1:8" x14ac:dyDescent="0.2">
      <c r="A176" s="701" t="s">
        <v>1896</v>
      </c>
      <c r="B176" s="701" t="s">
        <v>661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1897</v>
      </c>
    </row>
    <row r="177" spans="1:8" x14ac:dyDescent="0.2">
      <c r="A177" s="701" t="s">
        <v>1898</v>
      </c>
      <c r="B177" s="701" t="s">
        <v>662</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1899</v>
      </c>
    </row>
    <row r="178" spans="1:8" x14ac:dyDescent="0.2">
      <c r="A178" s="701" t="s">
        <v>1900</v>
      </c>
      <c r="B178" s="701" t="s">
        <v>663</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1901</v>
      </c>
    </row>
    <row r="179" spans="1:8" x14ac:dyDescent="0.2">
      <c r="A179" s="701" t="s">
        <v>1902</v>
      </c>
      <c r="B179" s="701" t="s">
        <v>664</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1903</v>
      </c>
    </row>
    <row r="180" spans="1:8" x14ac:dyDescent="0.2">
      <c r="A180" s="701" t="s">
        <v>1904</v>
      </c>
      <c r="B180" s="701" t="s">
        <v>665</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1905</v>
      </c>
    </row>
    <row r="181" spans="1:8" x14ac:dyDescent="0.2">
      <c r="A181" s="701" t="s">
        <v>1906</v>
      </c>
      <c r="B181" s="701" t="s">
        <v>666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1907</v>
      </c>
    </row>
    <row r="182" spans="1:8" x14ac:dyDescent="0.2">
      <c r="A182" s="701" t="s">
        <v>1908</v>
      </c>
      <c r="B182" s="701" t="s">
        <v>667</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1909</v>
      </c>
    </row>
    <row r="183" spans="1:8" x14ac:dyDescent="0.2">
      <c r="A183" s="701" t="s">
        <v>1910</v>
      </c>
      <c r="B183" s="701" t="s">
        <v>668</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1911</v>
      </c>
    </row>
    <row r="184" spans="1:8" x14ac:dyDescent="0.2">
      <c r="A184" s="701" t="s">
        <v>1912</v>
      </c>
      <c r="B184" s="701" t="s">
        <v>669</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1913</v>
      </c>
    </row>
    <row r="185" spans="1:8" x14ac:dyDescent="0.2">
      <c r="A185" s="701" t="s">
        <v>1914</v>
      </c>
      <c r="B185" s="701" t="s">
        <v>670</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1915</v>
      </c>
    </row>
    <row r="186" spans="1:8" x14ac:dyDescent="0.2">
      <c r="A186" s="701" t="s">
        <v>1916</v>
      </c>
      <c r="B186" s="701" t="s">
        <v>671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1917</v>
      </c>
    </row>
    <row r="187" spans="1:8" x14ac:dyDescent="0.2">
      <c r="A187" s="701" t="s">
        <v>1918</v>
      </c>
      <c r="B187" s="701" t="s">
        <v>672</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1919</v>
      </c>
    </row>
    <row r="188" spans="1:8" x14ac:dyDescent="0.2">
      <c r="A188" s="701" t="s">
        <v>1920</v>
      </c>
      <c r="B188" s="701" t="s">
        <v>673</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1921</v>
      </c>
    </row>
    <row r="189" spans="1:8" x14ac:dyDescent="0.2">
      <c r="A189" s="701" t="s">
        <v>1922</v>
      </c>
      <c r="B189" s="701" t="s">
        <v>674</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1923</v>
      </c>
    </row>
    <row r="190" spans="1:8" x14ac:dyDescent="0.2">
      <c r="A190" s="701" t="s">
        <v>1924</v>
      </c>
      <c r="B190" s="701" t="s">
        <v>675</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1925</v>
      </c>
    </row>
    <row r="191" spans="1:8" x14ac:dyDescent="0.2">
      <c r="A191" s="701" t="s">
        <v>1926</v>
      </c>
      <c r="B191" s="701" t="s">
        <v>676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1927</v>
      </c>
    </row>
    <row r="192" spans="1:8" x14ac:dyDescent="0.2">
      <c r="A192" s="701" t="s">
        <v>1928</v>
      </c>
      <c r="B192" s="701" t="s">
        <v>677</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1929</v>
      </c>
    </row>
    <row r="193" spans="1:8" x14ac:dyDescent="0.2">
      <c r="A193" s="701" t="s">
        <v>1930</v>
      </c>
      <c r="B193" s="701" t="s">
        <v>678</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1931</v>
      </c>
    </row>
    <row r="194" spans="1:8" x14ac:dyDescent="0.2">
      <c r="A194" s="701" t="s">
        <v>1932</v>
      </c>
      <c r="B194" s="701" t="s">
        <v>679</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1933</v>
      </c>
    </row>
    <row r="195" spans="1:8" x14ac:dyDescent="0.2">
      <c r="A195" s="701" t="s">
        <v>1934</v>
      </c>
      <c r="B195" s="701" t="s">
        <v>680</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1935</v>
      </c>
    </row>
    <row r="196" spans="1:8" x14ac:dyDescent="0.2">
      <c r="A196" s="701" t="s">
        <v>1936</v>
      </c>
      <c r="B196" s="701" t="s">
        <v>681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1937</v>
      </c>
    </row>
    <row r="197" spans="1:8" x14ac:dyDescent="0.2">
      <c r="A197" s="701" t="s">
        <v>1938</v>
      </c>
      <c r="B197" s="701" t="s">
        <v>682</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1939</v>
      </c>
    </row>
    <row r="198" spans="1:8" x14ac:dyDescent="0.2">
      <c r="A198" s="701" t="s">
        <v>1940</v>
      </c>
      <c r="B198" s="701" t="s">
        <v>683</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1941</v>
      </c>
    </row>
    <row r="199" spans="1:8" x14ac:dyDescent="0.2">
      <c r="A199" s="701" t="s">
        <v>1942</v>
      </c>
      <c r="B199" s="701" t="s">
        <v>684</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1943</v>
      </c>
    </row>
    <row r="200" spans="1:8" x14ac:dyDescent="0.2">
      <c r="A200" s="701" t="s">
        <v>1944</v>
      </c>
      <c r="B200" s="701" t="s">
        <v>685</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1945</v>
      </c>
    </row>
    <row r="201" spans="1:8" x14ac:dyDescent="0.2">
      <c r="A201" s="701" t="s">
        <v>1946</v>
      </c>
      <c r="B201" s="701" t="s">
        <v>686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1947</v>
      </c>
    </row>
    <row r="202" spans="1:8" x14ac:dyDescent="0.2">
      <c r="A202" s="701" t="s">
        <v>1948</v>
      </c>
      <c r="B202" s="701" t="s">
        <v>687</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1949</v>
      </c>
    </row>
    <row r="203" spans="1:8" x14ac:dyDescent="0.2">
      <c r="A203" s="701" t="s">
        <v>1950</v>
      </c>
      <c r="B203" s="701" t="s">
        <v>688</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1951</v>
      </c>
    </row>
    <row r="204" spans="1:8" x14ac:dyDescent="0.2">
      <c r="A204" s="701" t="s">
        <v>1952</v>
      </c>
      <c r="B204" s="701" t="s">
        <v>689</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1953</v>
      </c>
    </row>
    <row r="205" spans="1:8" x14ac:dyDescent="0.2">
      <c r="A205" s="701" t="s">
        <v>1954</v>
      </c>
      <c r="B205" s="701" t="s">
        <v>690</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1955</v>
      </c>
    </row>
    <row r="206" spans="1:8" x14ac:dyDescent="0.2">
      <c r="A206" s="701" t="s">
        <v>1956</v>
      </c>
      <c r="B206" s="701" t="s">
        <v>691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1957</v>
      </c>
    </row>
    <row r="207" spans="1:8" x14ac:dyDescent="0.2">
      <c r="A207" s="701" t="s">
        <v>1958</v>
      </c>
      <c r="B207" s="701" t="s">
        <v>692</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1959</v>
      </c>
    </row>
    <row r="208" spans="1:8" x14ac:dyDescent="0.2">
      <c r="A208" s="701" t="s">
        <v>1960</v>
      </c>
      <c r="B208" s="701" t="s">
        <v>693</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1961</v>
      </c>
    </row>
    <row r="209" spans="1:8" x14ac:dyDescent="0.2">
      <c r="A209" s="701" t="s">
        <v>1962</v>
      </c>
      <c r="B209" s="701" t="s">
        <v>694</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1963</v>
      </c>
    </row>
    <row r="210" spans="1:8" x14ac:dyDescent="0.2">
      <c r="A210" s="701" t="s">
        <v>1964</v>
      </c>
      <c r="B210" s="701" t="s">
        <v>695</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1965</v>
      </c>
    </row>
    <row r="211" spans="1:8" x14ac:dyDescent="0.2">
      <c r="A211" s="701" t="s">
        <v>1966</v>
      </c>
      <c r="B211" s="701" t="s">
        <v>696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1967</v>
      </c>
    </row>
    <row r="212" spans="1:8" x14ac:dyDescent="0.2">
      <c r="A212" s="701" t="s">
        <v>1968</v>
      </c>
      <c r="B212" s="701" t="s">
        <v>697</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1969</v>
      </c>
    </row>
    <row r="213" spans="1:8" x14ac:dyDescent="0.2">
      <c r="A213" s="701" t="s">
        <v>1970</v>
      </c>
      <c r="B213" s="701" t="s">
        <v>698</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1971</v>
      </c>
    </row>
    <row r="214" spans="1:8" x14ac:dyDescent="0.2">
      <c r="A214" s="701" t="s">
        <v>1972</v>
      </c>
      <c r="B214" s="701" t="s">
        <v>699</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1973</v>
      </c>
    </row>
    <row r="215" spans="1:8" x14ac:dyDescent="0.2">
      <c r="A215" s="701" t="s">
        <v>1974</v>
      </c>
      <c r="B215" s="701" t="s">
        <v>700</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1975</v>
      </c>
    </row>
    <row r="216" spans="1:8" x14ac:dyDescent="0.2">
      <c r="A216" s="701" t="s">
        <v>1976</v>
      </c>
      <c r="B216" s="701" t="s">
        <v>701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1977</v>
      </c>
    </row>
    <row r="217" spans="1:8" x14ac:dyDescent="0.2">
      <c r="A217" s="701" t="s">
        <v>1978</v>
      </c>
      <c r="B217" s="701" t="s">
        <v>702</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1979</v>
      </c>
    </row>
    <row r="218" spans="1:8" x14ac:dyDescent="0.2">
      <c r="A218" s="701" t="s">
        <v>1980</v>
      </c>
      <c r="B218" s="701" t="s">
        <v>703</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1981</v>
      </c>
    </row>
    <row r="219" spans="1:8" x14ac:dyDescent="0.2">
      <c r="A219" s="701" t="s">
        <v>1982</v>
      </c>
      <c r="B219" s="701" t="s">
        <v>704</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1983</v>
      </c>
    </row>
    <row r="220" spans="1:8" x14ac:dyDescent="0.2">
      <c r="A220" s="701" t="s">
        <v>1984</v>
      </c>
      <c r="B220" s="701" t="s">
        <v>705</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1985</v>
      </c>
    </row>
    <row r="221" spans="1:8" x14ac:dyDescent="0.2">
      <c r="A221" s="701" t="s">
        <v>1986</v>
      </c>
      <c r="B221" s="701" t="s">
        <v>706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1987</v>
      </c>
    </row>
    <row r="222" spans="1:8" x14ac:dyDescent="0.2">
      <c r="A222" s="701" t="s">
        <v>1988</v>
      </c>
      <c r="B222" s="701" t="s">
        <v>707</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1989</v>
      </c>
    </row>
    <row r="223" spans="1:8" x14ac:dyDescent="0.2">
      <c r="A223" s="701" t="s">
        <v>1990</v>
      </c>
      <c r="B223" s="701" t="s">
        <v>708</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1991</v>
      </c>
    </row>
    <row r="224" spans="1:8" x14ac:dyDescent="0.2">
      <c r="A224" s="701" t="s">
        <v>1992</v>
      </c>
      <c r="B224" s="701" t="s">
        <v>709</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1993</v>
      </c>
    </row>
    <row r="225" spans="1:8" x14ac:dyDescent="0.2">
      <c r="A225" s="701" t="s">
        <v>1994</v>
      </c>
      <c r="B225" s="701" t="s">
        <v>710</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1995</v>
      </c>
    </row>
    <row r="226" spans="1:8" x14ac:dyDescent="0.2">
      <c r="A226" s="701" t="s">
        <v>1996</v>
      </c>
      <c r="B226" s="701" t="s">
        <v>711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1997</v>
      </c>
    </row>
    <row r="227" spans="1:8" x14ac:dyDescent="0.2">
      <c r="A227" s="701" t="s">
        <v>1998</v>
      </c>
      <c r="B227" s="701" t="s">
        <v>712</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1999</v>
      </c>
    </row>
    <row r="228" spans="1:8" x14ac:dyDescent="0.2">
      <c r="A228" s="701" t="s">
        <v>2000</v>
      </c>
      <c r="B228" s="701" t="s">
        <v>713</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2001</v>
      </c>
    </row>
    <row r="229" spans="1:8" x14ac:dyDescent="0.2">
      <c r="A229" s="701" t="s">
        <v>2002</v>
      </c>
      <c r="B229" s="701" t="s">
        <v>714</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2003</v>
      </c>
    </row>
    <row r="230" spans="1:8" x14ac:dyDescent="0.2">
      <c r="A230" s="701" t="s">
        <v>2004</v>
      </c>
      <c r="B230" s="701" t="s">
        <v>715</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2005</v>
      </c>
    </row>
    <row r="231" spans="1:8" x14ac:dyDescent="0.2">
      <c r="A231" s="701" t="s">
        <v>2006</v>
      </c>
      <c r="B231" s="701" t="s">
        <v>716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2007</v>
      </c>
    </row>
    <row r="232" spans="1:8" x14ac:dyDescent="0.2">
      <c r="A232" s="701" t="s">
        <v>2008</v>
      </c>
      <c r="B232" s="701" t="s">
        <v>717</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2009</v>
      </c>
    </row>
    <row r="233" spans="1:8" x14ac:dyDescent="0.2">
      <c r="A233" s="701" t="s">
        <v>2010</v>
      </c>
      <c r="B233" s="701" t="s">
        <v>718</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2011</v>
      </c>
    </row>
    <row r="234" spans="1:8" x14ac:dyDescent="0.2">
      <c r="A234" s="701" t="s">
        <v>2012</v>
      </c>
      <c r="B234" s="701" t="s">
        <v>719</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2013</v>
      </c>
    </row>
    <row r="235" spans="1:8" x14ac:dyDescent="0.2">
      <c r="A235" s="701" t="s">
        <v>2014</v>
      </c>
      <c r="B235" s="701" t="s">
        <v>720</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2015</v>
      </c>
    </row>
    <row r="236" spans="1:8" x14ac:dyDescent="0.2">
      <c r="A236" s="701" t="s">
        <v>2016</v>
      </c>
      <c r="B236" s="701" t="s">
        <v>721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2017</v>
      </c>
    </row>
    <row r="237" spans="1:8" x14ac:dyDescent="0.2">
      <c r="A237" s="701" t="s">
        <v>2018</v>
      </c>
      <c r="B237" s="701" t="s">
        <v>722</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2019</v>
      </c>
    </row>
    <row r="238" spans="1:8" x14ac:dyDescent="0.2">
      <c r="A238" s="701" t="s">
        <v>2020</v>
      </c>
      <c r="B238" s="701" t="s">
        <v>723</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2021</v>
      </c>
    </row>
    <row r="239" spans="1:8" x14ac:dyDescent="0.2">
      <c r="A239" s="701" t="s">
        <v>2022</v>
      </c>
      <c r="B239" s="701" t="s">
        <v>724</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2023</v>
      </c>
    </row>
    <row r="240" spans="1:8" x14ac:dyDescent="0.2">
      <c r="A240" s="701" t="s">
        <v>2024</v>
      </c>
      <c r="B240" s="701" t="s">
        <v>725</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2025</v>
      </c>
    </row>
    <row r="241" spans="1:8" x14ac:dyDescent="0.2">
      <c r="A241" s="701" t="s">
        <v>2026</v>
      </c>
      <c r="B241" s="701" t="s">
        <v>726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2027</v>
      </c>
    </row>
    <row r="242" spans="1:8" x14ac:dyDescent="0.2">
      <c r="A242" s="701" t="s">
        <v>2028</v>
      </c>
      <c r="B242" s="701" t="s">
        <v>727</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2029</v>
      </c>
    </row>
    <row r="243" spans="1:8" x14ac:dyDescent="0.2">
      <c r="A243" s="701" t="s">
        <v>2030</v>
      </c>
      <c r="B243" s="701" t="s">
        <v>728</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2031</v>
      </c>
    </row>
    <row r="244" spans="1:8" x14ac:dyDescent="0.2">
      <c r="A244" s="701" t="s">
        <v>2032</v>
      </c>
      <c r="B244" s="701" t="s">
        <v>729</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2033</v>
      </c>
    </row>
    <row r="245" spans="1:8" x14ac:dyDescent="0.2">
      <c r="A245" s="701" t="s">
        <v>2034</v>
      </c>
      <c r="B245" s="701" t="s">
        <v>730</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2035</v>
      </c>
    </row>
    <row r="246" spans="1:8" x14ac:dyDescent="0.2">
      <c r="A246" s="701" t="s">
        <v>2036</v>
      </c>
      <c r="B246" s="701" t="s">
        <v>731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2037</v>
      </c>
    </row>
    <row r="247" spans="1:8" x14ac:dyDescent="0.2">
      <c r="A247" s="701" t="s">
        <v>2038</v>
      </c>
      <c r="B247" s="701" t="s">
        <v>732</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2039</v>
      </c>
    </row>
    <row r="248" spans="1:8" x14ac:dyDescent="0.2">
      <c r="A248" s="701" t="s">
        <v>2040</v>
      </c>
      <c r="B248" s="701" t="s">
        <v>733</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2041</v>
      </c>
    </row>
    <row r="249" spans="1:8" x14ac:dyDescent="0.2">
      <c r="A249" s="701" t="s">
        <v>2042</v>
      </c>
      <c r="B249" s="701" t="s">
        <v>734</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2043</v>
      </c>
    </row>
    <row r="250" spans="1:8" x14ac:dyDescent="0.2">
      <c r="A250" s="701" t="s">
        <v>2044</v>
      </c>
      <c r="B250" s="701" t="s">
        <v>735</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2045</v>
      </c>
    </row>
    <row r="251" spans="1:8" x14ac:dyDescent="0.2">
      <c r="A251" s="701" t="s">
        <v>2046</v>
      </c>
      <c r="B251" s="701" t="s">
        <v>736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2047</v>
      </c>
    </row>
    <row r="252" spans="1:8" x14ac:dyDescent="0.2">
      <c r="A252" s="701" t="s">
        <v>2048</v>
      </c>
      <c r="B252" s="701" t="s">
        <v>737</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2049</v>
      </c>
    </row>
    <row r="253" spans="1:8" x14ac:dyDescent="0.2">
      <c r="A253" s="701" t="s">
        <v>2050</v>
      </c>
      <c r="B253" s="701" t="s">
        <v>738</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2051</v>
      </c>
    </row>
    <row r="254" spans="1:8" x14ac:dyDescent="0.2">
      <c r="A254" s="701" t="s">
        <v>2052</v>
      </c>
      <c r="B254" s="701" t="s">
        <v>739</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2053</v>
      </c>
    </row>
    <row r="255" spans="1:8" x14ac:dyDescent="0.2">
      <c r="A255" s="701" t="s">
        <v>2054</v>
      </c>
      <c r="B255" s="701" t="s">
        <v>740</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2055</v>
      </c>
    </row>
    <row r="256" spans="1:8" x14ac:dyDescent="0.2">
      <c r="A256" s="701" t="s">
        <v>2056</v>
      </c>
      <c r="B256" s="701" t="s">
        <v>741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2057</v>
      </c>
    </row>
    <row r="257" spans="1:8" x14ac:dyDescent="0.2">
      <c r="A257" s="701" t="s">
        <v>2058</v>
      </c>
      <c r="B257" s="701" t="s">
        <v>742</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2059</v>
      </c>
    </row>
    <row r="258" spans="1:8" x14ac:dyDescent="0.2">
      <c r="A258" s="701" t="s">
        <v>2060</v>
      </c>
      <c r="B258" s="701" t="s">
        <v>743</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2061</v>
      </c>
    </row>
    <row r="259" spans="1:8" x14ac:dyDescent="0.2">
      <c r="A259" s="701" t="s">
        <v>2062</v>
      </c>
      <c r="B259" s="701" t="s">
        <v>744</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2063</v>
      </c>
    </row>
    <row r="260" spans="1:8" x14ac:dyDescent="0.2">
      <c r="A260" s="701" t="s">
        <v>2064</v>
      </c>
      <c r="B260" s="701" t="s">
        <v>745</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2065</v>
      </c>
    </row>
    <row r="261" spans="1:8" x14ac:dyDescent="0.2">
      <c r="A261" s="701" t="s">
        <v>2066</v>
      </c>
      <c r="B261" s="701" t="s">
        <v>746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2067</v>
      </c>
    </row>
    <row r="262" spans="1:8" x14ac:dyDescent="0.2">
      <c r="A262" s="701" t="s">
        <v>2068</v>
      </c>
      <c r="B262" s="701" t="s">
        <v>747</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2069</v>
      </c>
    </row>
    <row r="263" spans="1:8" x14ac:dyDescent="0.2">
      <c r="A263" s="701" t="s">
        <v>2070</v>
      </c>
      <c r="B263" s="701" t="s">
        <v>748</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2071</v>
      </c>
    </row>
    <row r="264" spans="1:8" x14ac:dyDescent="0.2">
      <c r="A264" s="701" t="s">
        <v>2072</v>
      </c>
      <c r="B264" s="701" t="s">
        <v>749</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2073</v>
      </c>
    </row>
    <row r="265" spans="1:8" x14ac:dyDescent="0.2">
      <c r="A265" s="701" t="s">
        <v>2074</v>
      </c>
      <c r="B265" s="701" t="s">
        <v>750</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2075</v>
      </c>
    </row>
    <row r="266" spans="1:8" x14ac:dyDescent="0.2">
      <c r="A266" s="701" t="s">
        <v>2076</v>
      </c>
      <c r="B266" s="701" t="s">
        <v>751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2077</v>
      </c>
    </row>
    <row r="267" spans="1:8" x14ac:dyDescent="0.2">
      <c r="A267" s="701" t="s">
        <v>2078</v>
      </c>
      <c r="B267" s="701" t="s">
        <v>752</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2079</v>
      </c>
    </row>
    <row r="268" spans="1:8" x14ac:dyDescent="0.2">
      <c r="A268" s="701" t="s">
        <v>2080</v>
      </c>
      <c r="B268" s="701" t="s">
        <v>753</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2081</v>
      </c>
    </row>
    <row r="269" spans="1:8" x14ac:dyDescent="0.2">
      <c r="A269" s="701" t="s">
        <v>2082</v>
      </c>
      <c r="B269" s="701" t="s">
        <v>754</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2083</v>
      </c>
    </row>
    <row r="270" spans="1:8" x14ac:dyDescent="0.2">
      <c r="A270" s="701" t="s">
        <v>2084</v>
      </c>
      <c r="B270" s="701" t="s">
        <v>755</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2085</v>
      </c>
    </row>
    <row r="271" spans="1:8" x14ac:dyDescent="0.2">
      <c r="A271" s="701" t="s">
        <v>2086</v>
      </c>
      <c r="B271" s="701" t="s">
        <v>756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2087</v>
      </c>
    </row>
    <row r="272" spans="1:8" x14ac:dyDescent="0.2">
      <c r="A272" s="701" t="s">
        <v>2088</v>
      </c>
      <c r="B272" s="701" t="s">
        <v>757</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2089</v>
      </c>
    </row>
    <row r="273" spans="1:8" x14ac:dyDescent="0.2">
      <c r="A273" s="701" t="s">
        <v>2090</v>
      </c>
      <c r="B273" s="701" t="s">
        <v>758</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2091</v>
      </c>
    </row>
    <row r="274" spans="1:8" x14ac:dyDescent="0.2">
      <c r="A274" s="701" t="s">
        <v>2092</v>
      </c>
      <c r="B274" s="701" t="s">
        <v>759</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2093</v>
      </c>
    </row>
    <row r="275" spans="1:8" x14ac:dyDescent="0.2">
      <c r="A275" s="701" t="s">
        <v>2094</v>
      </c>
      <c r="B275" s="701" t="s">
        <v>760</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2095</v>
      </c>
    </row>
    <row r="276" spans="1:8" x14ac:dyDescent="0.2">
      <c r="A276" s="701" t="s">
        <v>2096</v>
      </c>
      <c r="B276" s="701" t="s">
        <v>761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2097</v>
      </c>
    </row>
    <row r="277" spans="1:8" x14ac:dyDescent="0.2">
      <c r="A277" s="701" t="s">
        <v>2098</v>
      </c>
      <c r="B277" s="701" t="s">
        <v>762</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2099</v>
      </c>
    </row>
    <row r="278" spans="1:8" x14ac:dyDescent="0.2">
      <c r="A278" s="701" t="s">
        <v>2100</v>
      </c>
      <c r="B278" s="701" t="s">
        <v>763</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2101</v>
      </c>
    </row>
    <row r="279" spans="1:8" x14ac:dyDescent="0.2">
      <c r="A279" s="701" t="s">
        <v>2102</v>
      </c>
      <c r="B279" s="701" t="s">
        <v>764</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2103</v>
      </c>
    </row>
    <row r="280" spans="1:8" x14ac:dyDescent="0.2">
      <c r="A280" s="701" t="s">
        <v>2104</v>
      </c>
      <c r="B280" s="701" t="s">
        <v>765</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2105</v>
      </c>
    </row>
    <row r="281" spans="1:8" x14ac:dyDescent="0.2">
      <c r="A281" s="701" t="s">
        <v>2106</v>
      </c>
      <c r="B281" s="701" t="s">
        <v>766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2107</v>
      </c>
    </row>
    <row r="282" spans="1:8" x14ac:dyDescent="0.2">
      <c r="A282" s="701" t="s">
        <v>2108</v>
      </c>
      <c r="B282" s="701" t="s">
        <v>767</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2109</v>
      </c>
    </row>
    <row r="283" spans="1:8" x14ac:dyDescent="0.2">
      <c r="A283" s="701" t="s">
        <v>2110</v>
      </c>
      <c r="B283" s="701" t="s">
        <v>768</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2111</v>
      </c>
    </row>
    <row r="284" spans="1:8" x14ac:dyDescent="0.2">
      <c r="A284" s="701" t="s">
        <v>2112</v>
      </c>
      <c r="B284" s="701" t="s">
        <v>769</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2113</v>
      </c>
    </row>
    <row r="285" spans="1:8" x14ac:dyDescent="0.2">
      <c r="A285" s="701" t="s">
        <v>2114</v>
      </c>
      <c r="B285" s="701" t="s">
        <v>770</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2115</v>
      </c>
    </row>
    <row r="286" spans="1:8" x14ac:dyDescent="0.2">
      <c r="A286" s="701" t="s">
        <v>2116</v>
      </c>
      <c r="B286" s="701" t="s">
        <v>771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2117</v>
      </c>
    </row>
    <row r="287" spans="1:8" x14ac:dyDescent="0.2">
      <c r="A287" s="701" t="s">
        <v>2118</v>
      </c>
      <c r="B287" s="701" t="s">
        <v>772</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2119</v>
      </c>
    </row>
    <row r="288" spans="1:8" x14ac:dyDescent="0.2">
      <c r="A288" s="701" t="s">
        <v>2120</v>
      </c>
      <c r="B288" s="701" t="s">
        <v>773</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2121</v>
      </c>
    </row>
    <row r="289" spans="1:8" x14ac:dyDescent="0.2">
      <c r="A289" s="701" t="s">
        <v>2122</v>
      </c>
      <c r="B289" s="701" t="s">
        <v>774</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2123</v>
      </c>
    </row>
    <row r="290" spans="1:8" x14ac:dyDescent="0.2">
      <c r="A290" s="701" t="s">
        <v>2124</v>
      </c>
      <c r="B290" s="701" t="s">
        <v>775</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2125</v>
      </c>
    </row>
    <row r="291" spans="1:8" x14ac:dyDescent="0.2">
      <c r="A291" s="701" t="s">
        <v>2126</v>
      </c>
      <c r="B291" s="701" t="s">
        <v>776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2127</v>
      </c>
    </row>
    <row r="292" spans="1:8" x14ac:dyDescent="0.2">
      <c r="A292" s="701" t="s">
        <v>2128</v>
      </c>
      <c r="B292" s="701" t="s">
        <v>777</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2129</v>
      </c>
    </row>
    <row r="293" spans="1:8" x14ac:dyDescent="0.2">
      <c r="A293" s="701" t="s">
        <v>2130</v>
      </c>
      <c r="B293" s="701" t="s">
        <v>778</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2131</v>
      </c>
    </row>
    <row r="294" spans="1:8" x14ac:dyDescent="0.2">
      <c r="A294" s="701" t="s">
        <v>2132</v>
      </c>
      <c r="B294" s="701" t="s">
        <v>779</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2133</v>
      </c>
    </row>
    <row r="295" spans="1:8" x14ac:dyDescent="0.2">
      <c r="A295" s="701" t="s">
        <v>2134</v>
      </c>
      <c r="B295" s="701" t="s">
        <v>780</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2135</v>
      </c>
    </row>
    <row r="296" spans="1:8" x14ac:dyDescent="0.2">
      <c r="A296" s="701" t="s">
        <v>2136</v>
      </c>
      <c r="B296" s="701" t="s">
        <v>781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2137</v>
      </c>
    </row>
    <row r="297" spans="1:8" x14ac:dyDescent="0.2">
      <c r="A297" s="701" t="s">
        <v>2138</v>
      </c>
      <c r="B297" s="701" t="s">
        <v>782</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2139</v>
      </c>
    </row>
    <row r="298" spans="1:8" x14ac:dyDescent="0.2">
      <c r="A298" s="701" t="s">
        <v>2140</v>
      </c>
      <c r="B298" s="701" t="s">
        <v>783</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2141</v>
      </c>
    </row>
    <row r="299" spans="1:8" x14ac:dyDescent="0.2">
      <c r="A299" s="701" t="s">
        <v>2142</v>
      </c>
      <c r="B299" s="701" t="s">
        <v>784</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2143</v>
      </c>
    </row>
    <row r="300" spans="1:8" x14ac:dyDescent="0.2">
      <c r="A300" s="701" t="s">
        <v>2144</v>
      </c>
      <c r="B300" s="701" t="s">
        <v>785</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2145</v>
      </c>
    </row>
    <row r="301" spans="1:8" x14ac:dyDescent="0.2">
      <c r="A301" s="701" t="s">
        <v>2146</v>
      </c>
      <c r="B301" s="701" t="s">
        <v>786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2147</v>
      </c>
    </row>
    <row r="302" spans="1:8" x14ac:dyDescent="0.2">
      <c r="A302" s="701" t="s">
        <v>2148</v>
      </c>
      <c r="B302" s="701" t="s">
        <v>787</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2149</v>
      </c>
    </row>
    <row r="303" spans="1:8" x14ac:dyDescent="0.2">
      <c r="A303" s="701" t="s">
        <v>2150</v>
      </c>
      <c r="B303" s="701" t="s">
        <v>788</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2151</v>
      </c>
    </row>
    <row r="304" spans="1:8" x14ac:dyDescent="0.2">
      <c r="A304" s="701" t="s">
        <v>2152</v>
      </c>
      <c r="B304" s="701" t="s">
        <v>789</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2153</v>
      </c>
    </row>
    <row r="305" spans="1:8" x14ac:dyDescent="0.2">
      <c r="A305" s="701" t="s">
        <v>2154</v>
      </c>
      <c r="B305" s="701" t="s">
        <v>790</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2155</v>
      </c>
    </row>
    <row r="306" spans="1:8" x14ac:dyDescent="0.2">
      <c r="A306" s="701" t="s">
        <v>2156</v>
      </c>
      <c r="B306" s="701" t="s">
        <v>791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2157</v>
      </c>
    </row>
    <row r="307" spans="1:8" x14ac:dyDescent="0.2">
      <c r="A307" s="701" t="s">
        <v>2158</v>
      </c>
      <c r="B307" s="701" t="s">
        <v>792</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2159</v>
      </c>
    </row>
    <row r="308" spans="1:8" x14ac:dyDescent="0.2">
      <c r="A308" s="701" t="s">
        <v>2160</v>
      </c>
      <c r="B308" s="701" t="s">
        <v>793</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2161</v>
      </c>
    </row>
    <row r="309" spans="1:8" x14ac:dyDescent="0.2">
      <c r="A309" s="701" t="s">
        <v>2162</v>
      </c>
      <c r="B309" s="701" t="s">
        <v>794</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2163</v>
      </c>
    </row>
    <row r="310" spans="1:8" x14ac:dyDescent="0.2">
      <c r="A310" s="701" t="s">
        <v>2164</v>
      </c>
      <c r="B310" s="701" t="s">
        <v>795</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2165</v>
      </c>
    </row>
    <row r="311" spans="1:8" x14ac:dyDescent="0.2">
      <c r="A311" s="701" t="s">
        <v>2166</v>
      </c>
      <c r="B311" s="701" t="s">
        <v>796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2167</v>
      </c>
    </row>
    <row r="312" spans="1:8" x14ac:dyDescent="0.2">
      <c r="A312" s="701" t="s">
        <v>2168</v>
      </c>
      <c r="B312" s="701" t="s">
        <v>797</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2169</v>
      </c>
    </row>
    <row r="313" spans="1:8" x14ac:dyDescent="0.2">
      <c r="A313" s="701" t="s">
        <v>2170</v>
      </c>
      <c r="B313" s="701" t="s">
        <v>798</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2171</v>
      </c>
    </row>
    <row r="314" spans="1:8" x14ac:dyDescent="0.2">
      <c r="A314" s="701" t="s">
        <v>2172</v>
      </c>
      <c r="B314" s="701" t="s">
        <v>799</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2173</v>
      </c>
    </row>
    <row r="315" spans="1:8" x14ac:dyDescent="0.2">
      <c r="A315" s="701" t="s">
        <v>2174</v>
      </c>
      <c r="B315" s="701" t="s">
        <v>800</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2175</v>
      </c>
    </row>
    <row r="316" spans="1:8" x14ac:dyDescent="0.2">
      <c r="A316" s="701" t="s">
        <v>2176</v>
      </c>
      <c r="B316" s="701" t="s">
        <v>801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2177</v>
      </c>
    </row>
    <row r="317" spans="1:8" x14ac:dyDescent="0.2">
      <c r="A317" s="701" t="s">
        <v>2178</v>
      </c>
      <c r="B317" s="701" t="s">
        <v>802</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2179</v>
      </c>
    </row>
    <row r="318" spans="1:8" x14ac:dyDescent="0.2">
      <c r="A318" s="701" t="s">
        <v>2180</v>
      </c>
      <c r="B318" s="701" t="s">
        <v>803</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2181</v>
      </c>
    </row>
    <row r="319" spans="1:8" x14ac:dyDescent="0.2">
      <c r="A319" s="701" t="s">
        <v>2182</v>
      </c>
      <c r="B319" s="701" t="s">
        <v>804</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2183</v>
      </c>
    </row>
    <row r="320" spans="1:8" x14ac:dyDescent="0.2">
      <c r="A320" s="701" t="s">
        <v>2184</v>
      </c>
      <c r="B320" s="701" t="s">
        <v>805</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2185</v>
      </c>
    </row>
    <row r="321" spans="1:8" x14ac:dyDescent="0.2">
      <c r="A321" s="701" t="s">
        <v>2186</v>
      </c>
      <c r="B321" s="701" t="s">
        <v>806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2187</v>
      </c>
    </row>
    <row r="322" spans="1:8" x14ac:dyDescent="0.2">
      <c r="A322" s="701" t="s">
        <v>2188</v>
      </c>
      <c r="B322" s="701" t="s">
        <v>807</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2189</v>
      </c>
    </row>
    <row r="323" spans="1:8" x14ac:dyDescent="0.2">
      <c r="A323" s="701" t="s">
        <v>2190</v>
      </c>
      <c r="B323" s="701" t="s">
        <v>808</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2191</v>
      </c>
    </row>
    <row r="324" spans="1:8" x14ac:dyDescent="0.2">
      <c r="A324" s="701" t="s">
        <v>2192</v>
      </c>
      <c r="B324" s="701" t="s">
        <v>809</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2193</v>
      </c>
    </row>
    <row r="325" spans="1:8" x14ac:dyDescent="0.2">
      <c r="A325" s="701" t="s">
        <v>2194</v>
      </c>
      <c r="B325" s="701" t="s">
        <v>810</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2195</v>
      </c>
    </row>
    <row r="326" spans="1:8" x14ac:dyDescent="0.2">
      <c r="A326" s="701" t="s">
        <v>2196</v>
      </c>
      <c r="B326" s="701" t="s">
        <v>811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2197</v>
      </c>
    </row>
    <row r="327" spans="1:8" x14ac:dyDescent="0.2">
      <c r="A327" s="701" t="s">
        <v>2198</v>
      </c>
      <c r="B327" s="701" t="s">
        <v>812</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2199</v>
      </c>
    </row>
    <row r="328" spans="1:8" x14ac:dyDescent="0.2">
      <c r="A328" s="701" t="s">
        <v>2200</v>
      </c>
      <c r="B328" s="701" t="s">
        <v>813</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2201</v>
      </c>
    </row>
    <row r="329" spans="1:8" x14ac:dyDescent="0.2">
      <c r="A329" s="701" t="s">
        <v>2202</v>
      </c>
      <c r="B329" s="701" t="s">
        <v>814</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2203</v>
      </c>
    </row>
    <row r="330" spans="1:8" x14ac:dyDescent="0.2">
      <c r="A330" s="701" t="s">
        <v>2204</v>
      </c>
      <c r="B330" s="701" t="s">
        <v>815</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2205</v>
      </c>
    </row>
    <row r="331" spans="1:8" x14ac:dyDescent="0.2">
      <c r="A331" s="701" t="s">
        <v>2206</v>
      </c>
      <c r="B331" s="701" t="s">
        <v>816</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2207</v>
      </c>
    </row>
    <row r="332" spans="1:8" x14ac:dyDescent="0.2">
      <c r="A332" s="701" t="s">
        <v>2208</v>
      </c>
      <c r="B332" s="701" t="s">
        <v>817</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2209</v>
      </c>
    </row>
    <row r="333" spans="1:8" x14ac:dyDescent="0.2">
      <c r="A333" s="701" t="s">
        <v>2210</v>
      </c>
      <c r="B333" s="701" t="s">
        <v>818</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2211</v>
      </c>
    </row>
    <row r="334" spans="1:8" x14ac:dyDescent="0.2">
      <c r="A334" s="701" t="s">
        <v>2212</v>
      </c>
      <c r="B334" s="701" t="s">
        <v>819</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2213</v>
      </c>
    </row>
    <row r="335" spans="1:8" x14ac:dyDescent="0.2">
      <c r="A335" s="701" t="s">
        <v>2214</v>
      </c>
      <c r="B335" s="701" t="s">
        <v>820</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2215</v>
      </c>
    </row>
    <row r="336" spans="1:8" x14ac:dyDescent="0.2">
      <c r="A336" s="701" t="s">
        <v>2216</v>
      </c>
      <c r="B336" s="701" t="s">
        <v>821</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2217</v>
      </c>
    </row>
    <row r="337" spans="1:8" x14ac:dyDescent="0.2">
      <c r="A337" s="701" t="s">
        <v>2218</v>
      </c>
      <c r="B337" s="701" t="s">
        <v>822</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2219</v>
      </c>
    </row>
    <row r="338" spans="1:8" x14ac:dyDescent="0.2">
      <c r="A338" s="701" t="s">
        <v>2220</v>
      </c>
      <c r="B338" s="701" t="s">
        <v>823</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2221</v>
      </c>
    </row>
    <row r="339" spans="1:8" x14ac:dyDescent="0.2">
      <c r="A339" s="701" t="s">
        <v>2222</v>
      </c>
      <c r="B339" s="701" t="s">
        <v>824</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2223</v>
      </c>
    </row>
    <row r="340" spans="1:8" x14ac:dyDescent="0.2">
      <c r="A340" s="701" t="s">
        <v>2224</v>
      </c>
      <c r="B340" s="701" t="s">
        <v>825</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2225</v>
      </c>
    </row>
    <row r="341" spans="1:8" x14ac:dyDescent="0.2">
      <c r="A341" s="701" t="s">
        <v>2226</v>
      </c>
      <c r="B341" s="701" t="s">
        <v>826</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2227</v>
      </c>
    </row>
    <row r="342" spans="1:8" x14ac:dyDescent="0.2">
      <c r="A342" s="701" t="s">
        <v>2228</v>
      </c>
      <c r="B342" s="701" t="s">
        <v>827</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2229</v>
      </c>
    </row>
    <row r="343" spans="1:8" x14ac:dyDescent="0.2">
      <c r="A343" s="701" t="s">
        <v>2230</v>
      </c>
      <c r="B343" s="701" t="s">
        <v>828</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2231</v>
      </c>
    </row>
    <row r="344" spans="1:8" x14ac:dyDescent="0.2">
      <c r="A344" s="701" t="s">
        <v>2232</v>
      </c>
      <c r="B344" s="701" t="s">
        <v>829</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2233</v>
      </c>
    </row>
    <row r="345" spans="1:8" x14ac:dyDescent="0.2">
      <c r="A345" s="701" t="s">
        <v>2234</v>
      </c>
      <c r="B345" s="701" t="s">
        <v>830</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2235</v>
      </c>
    </row>
    <row r="346" spans="1:8" x14ac:dyDescent="0.2">
      <c r="A346" s="701" t="s">
        <v>2236</v>
      </c>
      <c r="B346" s="701" t="s">
        <v>831</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2237</v>
      </c>
    </row>
    <row r="347" spans="1:8" x14ac:dyDescent="0.2">
      <c r="A347" s="701" t="s">
        <v>2238</v>
      </c>
      <c r="B347" s="701" t="s">
        <v>832</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2239</v>
      </c>
    </row>
    <row r="348" spans="1:8" x14ac:dyDescent="0.2">
      <c r="A348" s="701" t="s">
        <v>2240</v>
      </c>
      <c r="B348" s="701" t="s">
        <v>833</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2241</v>
      </c>
    </row>
    <row r="349" spans="1:8" x14ac:dyDescent="0.2">
      <c r="A349" s="701" t="s">
        <v>2242</v>
      </c>
      <c r="B349" s="701" t="s">
        <v>834</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2243</v>
      </c>
    </row>
    <row r="350" spans="1:8" x14ac:dyDescent="0.2">
      <c r="A350" s="701" t="s">
        <v>2244</v>
      </c>
      <c r="B350" s="701" t="s">
        <v>835</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2245</v>
      </c>
    </row>
    <row r="351" spans="1:8" x14ac:dyDescent="0.2">
      <c r="A351" s="701" t="s">
        <v>2246</v>
      </c>
      <c r="B351" s="701" t="s">
        <v>836</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2247</v>
      </c>
    </row>
    <row r="352" spans="1:8" x14ac:dyDescent="0.2">
      <c r="A352" s="701" t="s">
        <v>2248</v>
      </c>
      <c r="B352" s="701" t="s">
        <v>837</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2249</v>
      </c>
    </row>
    <row r="353" spans="1:8" x14ac:dyDescent="0.2">
      <c r="A353" s="701" t="s">
        <v>2250</v>
      </c>
      <c r="B353" s="701" t="s">
        <v>838</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2251</v>
      </c>
    </row>
    <row r="354" spans="1:8" x14ac:dyDescent="0.2">
      <c r="A354" s="701" t="s">
        <v>2252</v>
      </c>
      <c r="B354" s="701" t="s">
        <v>839</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2253</v>
      </c>
    </row>
    <row r="355" spans="1:8" x14ac:dyDescent="0.2">
      <c r="A355" s="701" t="s">
        <v>2254</v>
      </c>
      <c r="B355" s="701" t="s">
        <v>840</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2255</v>
      </c>
    </row>
    <row r="356" spans="1:8" x14ac:dyDescent="0.2">
      <c r="A356" s="701" t="s">
        <v>2256</v>
      </c>
      <c r="B356" s="701" t="s">
        <v>841</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2257</v>
      </c>
    </row>
    <row r="357" spans="1:8" x14ac:dyDescent="0.2">
      <c r="A357" s="701" t="s">
        <v>2258</v>
      </c>
      <c r="B357" s="701" t="s">
        <v>842</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2259</v>
      </c>
    </row>
    <row r="358" spans="1:8" x14ac:dyDescent="0.2">
      <c r="A358" s="701" t="s">
        <v>2260</v>
      </c>
      <c r="B358" s="701" t="s">
        <v>843</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2261</v>
      </c>
    </row>
    <row r="359" spans="1:8" x14ac:dyDescent="0.2">
      <c r="A359" s="701" t="s">
        <v>2262</v>
      </c>
      <c r="B359" s="701" t="s">
        <v>844</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2263</v>
      </c>
    </row>
    <row r="360" spans="1:8" x14ac:dyDescent="0.2">
      <c r="A360" s="701" t="s">
        <v>2264</v>
      </c>
      <c r="B360" s="701" t="s">
        <v>845</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2265</v>
      </c>
    </row>
    <row r="361" spans="1:8" x14ac:dyDescent="0.2">
      <c r="A361" s="701" t="s">
        <v>2266</v>
      </c>
      <c r="B361" s="701" t="s">
        <v>846</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2267</v>
      </c>
    </row>
    <row r="362" spans="1:8" x14ac:dyDescent="0.2">
      <c r="A362" s="701" t="s">
        <v>2268</v>
      </c>
      <c r="B362" s="701" t="s">
        <v>847</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2269</v>
      </c>
    </row>
    <row r="363" spans="1:8" x14ac:dyDescent="0.2">
      <c r="A363" s="701" t="s">
        <v>2270</v>
      </c>
      <c r="B363" s="701" t="s">
        <v>848</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2271</v>
      </c>
    </row>
    <row r="364" spans="1:8" x14ac:dyDescent="0.2">
      <c r="A364" s="701" t="s">
        <v>2272</v>
      </c>
      <c r="B364" s="701" t="s">
        <v>849</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2273</v>
      </c>
    </row>
    <row r="365" spans="1:8" x14ac:dyDescent="0.2">
      <c r="A365" s="701" t="s">
        <v>2274</v>
      </c>
      <c r="B365" s="701" t="s">
        <v>850</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2275</v>
      </c>
    </row>
    <row r="366" spans="1:8" x14ac:dyDescent="0.2">
      <c r="A366" s="701" t="s">
        <v>2276</v>
      </c>
      <c r="B366" s="701" t="s">
        <v>851</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2277</v>
      </c>
    </row>
    <row r="367" spans="1:8" x14ac:dyDescent="0.2">
      <c r="A367" s="701" t="s">
        <v>2278</v>
      </c>
      <c r="B367" s="701" t="s">
        <v>852</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2279</v>
      </c>
    </row>
    <row r="368" spans="1:8" x14ac:dyDescent="0.2">
      <c r="A368" s="701" t="s">
        <v>2280</v>
      </c>
      <c r="B368" s="701" t="s">
        <v>853</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2281</v>
      </c>
    </row>
    <row r="369" spans="1:8" x14ac:dyDescent="0.2">
      <c r="A369" s="701" t="s">
        <v>2282</v>
      </c>
      <c r="B369" s="701" t="s">
        <v>854</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2283</v>
      </c>
    </row>
    <row r="370" spans="1:8" x14ac:dyDescent="0.2">
      <c r="A370" s="701" t="s">
        <v>2284</v>
      </c>
      <c r="B370" s="701" t="s">
        <v>855</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2285</v>
      </c>
    </row>
    <row r="371" spans="1:8" x14ac:dyDescent="0.2">
      <c r="A371" s="701" t="s">
        <v>2286</v>
      </c>
      <c r="B371" s="701" t="s">
        <v>856</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2287</v>
      </c>
    </row>
    <row r="372" spans="1:8" x14ac:dyDescent="0.2">
      <c r="A372" s="701" t="s">
        <v>2288</v>
      </c>
      <c r="B372" s="701" t="s">
        <v>857</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2289</v>
      </c>
    </row>
    <row r="373" spans="1:8" x14ac:dyDescent="0.2">
      <c r="A373" s="701" t="s">
        <v>2290</v>
      </c>
      <c r="B373" s="701" t="s">
        <v>858</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2291</v>
      </c>
    </row>
    <row r="374" spans="1:8" x14ac:dyDescent="0.2">
      <c r="A374" s="701" t="s">
        <v>2292</v>
      </c>
      <c r="B374" s="701" t="s">
        <v>859</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2293</v>
      </c>
    </row>
    <row r="375" spans="1:8" x14ac:dyDescent="0.2">
      <c r="A375" s="701" t="s">
        <v>2294</v>
      </c>
      <c r="B375" s="701" t="s">
        <v>860</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2295</v>
      </c>
    </row>
    <row r="376" spans="1:8" x14ac:dyDescent="0.2">
      <c r="A376" s="701" t="s">
        <v>2296</v>
      </c>
      <c r="B376" s="701" t="s">
        <v>861</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2297</v>
      </c>
    </row>
    <row r="377" spans="1:8" x14ac:dyDescent="0.2">
      <c r="A377" s="701" t="s">
        <v>2298</v>
      </c>
      <c r="B377" s="701" t="s">
        <v>862</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2299</v>
      </c>
    </row>
    <row r="378" spans="1:8" x14ac:dyDescent="0.2">
      <c r="A378" s="701" t="s">
        <v>2300</v>
      </c>
      <c r="B378" s="701" t="s">
        <v>863</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2301</v>
      </c>
    </row>
    <row r="379" spans="1:8" x14ac:dyDescent="0.2">
      <c r="A379" s="701" t="s">
        <v>2302</v>
      </c>
      <c r="B379" s="701" t="s">
        <v>864</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2303</v>
      </c>
    </row>
    <row r="380" spans="1:8" x14ac:dyDescent="0.2">
      <c r="A380" s="701" t="s">
        <v>2304</v>
      </c>
      <c r="B380" s="701" t="s">
        <v>865</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2305</v>
      </c>
    </row>
    <row r="381" spans="1:8" x14ac:dyDescent="0.2">
      <c r="A381" s="701" t="s">
        <v>2306</v>
      </c>
      <c r="B381" s="701" t="s">
        <v>866</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2307</v>
      </c>
    </row>
    <row r="382" spans="1:8" x14ac:dyDescent="0.2">
      <c r="A382" s="701" t="s">
        <v>2308</v>
      </c>
      <c r="B382" s="701" t="s">
        <v>867</v>
      </c>
      <c r="C382" s="701" t="str">
        <f>Translations!$B$1069</f>
        <v>Semi-finished products of tool steel</v>
      </c>
      <c r="D382" s="701" t="str">
        <f t="shared" si="9"/>
        <v>72249002</v>
      </c>
      <c r="E382" s="701" t="str">
        <f>Translations!$B$668</f>
        <v>Crude steel</v>
      </c>
      <c r="F382" s="701" t="str">
        <f>IF(E382=" --- ","",COUNTIF($E$3:E382,E382)&amp;"_"&amp;E382)</f>
        <v>42_Crude steel</v>
      </c>
      <c r="H382" s="804" t="s">
        <v>2309</v>
      </c>
    </row>
    <row r="383" spans="1:8" x14ac:dyDescent="0.2">
      <c r="A383" s="701" t="s">
        <v>2310</v>
      </c>
      <c r="B383" s="701" t="s">
        <v>868</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2311</v>
      </c>
    </row>
    <row r="384" spans="1:8" x14ac:dyDescent="0.2">
      <c r="A384" s="701" t="s">
        <v>2312</v>
      </c>
      <c r="B384" s="701" t="s">
        <v>869</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2313</v>
      </c>
    </row>
    <row r="385" spans="1:8" x14ac:dyDescent="0.2">
      <c r="A385" s="701" t="s">
        <v>2314</v>
      </c>
      <c r="B385" s="701" t="s">
        <v>870</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2315</v>
      </c>
    </row>
    <row r="386" spans="1:8" x14ac:dyDescent="0.2">
      <c r="A386" s="701" t="s">
        <v>2316</v>
      </c>
      <c r="B386" s="701" t="s">
        <v>871</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2317</v>
      </c>
    </row>
    <row r="387" spans="1:8" x14ac:dyDescent="0.2">
      <c r="A387" s="701" t="s">
        <v>2318</v>
      </c>
      <c r="B387" s="701" t="s">
        <v>872</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2319</v>
      </c>
    </row>
    <row r="388" spans="1:8" x14ac:dyDescent="0.2">
      <c r="A388" s="701" t="s">
        <v>2320</v>
      </c>
      <c r="B388" s="701" t="s">
        <v>873</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2321</v>
      </c>
    </row>
    <row r="389" spans="1:8" x14ac:dyDescent="0.2">
      <c r="A389" s="701" t="s">
        <v>2322</v>
      </c>
      <c r="B389" s="701" t="s">
        <v>874</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2323</v>
      </c>
    </row>
    <row r="390" spans="1:8" x14ac:dyDescent="0.2">
      <c r="A390" s="701" t="s">
        <v>2324</v>
      </c>
      <c r="B390" s="701" t="s">
        <v>875</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2325</v>
      </c>
    </row>
    <row r="391" spans="1:8" x14ac:dyDescent="0.2">
      <c r="A391" s="701" t="s">
        <v>2326</v>
      </c>
      <c r="B391" s="701" t="s">
        <v>876</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2327</v>
      </c>
    </row>
    <row r="392" spans="1:8" x14ac:dyDescent="0.2">
      <c r="A392" s="701" t="s">
        <v>2328</v>
      </c>
      <c r="B392" s="701" t="s">
        <v>877</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2329</v>
      </c>
    </row>
    <row r="393" spans="1:8" x14ac:dyDescent="0.2">
      <c r="A393" s="701" t="s">
        <v>2330</v>
      </c>
      <c r="B393" s="701" t="s">
        <v>878</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2331</v>
      </c>
    </row>
    <row r="394" spans="1:8" x14ac:dyDescent="0.2">
      <c r="A394" s="701" t="s">
        <v>2332</v>
      </c>
      <c r="B394" s="701" t="s">
        <v>879</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2333</v>
      </c>
    </row>
    <row r="395" spans="1:8" x14ac:dyDescent="0.2">
      <c r="A395" s="701" t="s">
        <v>2334</v>
      </c>
      <c r="B395" s="701" t="s">
        <v>880</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2335</v>
      </c>
    </row>
    <row r="396" spans="1:8" x14ac:dyDescent="0.2">
      <c r="A396" s="701" t="s">
        <v>2336</v>
      </c>
      <c r="B396" s="701" t="s">
        <v>881</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2337</v>
      </c>
    </row>
    <row r="397" spans="1:8" x14ac:dyDescent="0.2">
      <c r="A397" s="701" t="s">
        <v>2338</v>
      </c>
      <c r="B397" s="701" t="s">
        <v>882</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2339</v>
      </c>
    </row>
    <row r="398" spans="1:8" x14ac:dyDescent="0.2">
      <c r="A398" s="701" t="s">
        <v>2340</v>
      </c>
      <c r="B398" s="701" t="s">
        <v>883</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2341</v>
      </c>
    </row>
    <row r="399" spans="1:8" x14ac:dyDescent="0.2">
      <c r="A399" s="701" t="s">
        <v>2342</v>
      </c>
      <c r="B399" s="701" t="s">
        <v>884</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2343</v>
      </c>
    </row>
    <row r="400" spans="1:8" x14ac:dyDescent="0.2">
      <c r="A400" s="701" t="s">
        <v>2344</v>
      </c>
      <c r="B400" s="701" t="s">
        <v>885</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2345</v>
      </c>
    </row>
    <row r="401" spans="1:8" x14ac:dyDescent="0.2">
      <c r="A401" s="701" t="s">
        <v>2346</v>
      </c>
      <c r="B401" s="701" t="s">
        <v>886</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2347</v>
      </c>
    </row>
    <row r="402" spans="1:8" x14ac:dyDescent="0.2">
      <c r="A402" s="701" t="s">
        <v>2348</v>
      </c>
      <c r="B402" s="701" t="s">
        <v>887</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2349</v>
      </c>
    </row>
    <row r="403" spans="1:8" x14ac:dyDescent="0.2">
      <c r="A403" s="701" t="s">
        <v>2350</v>
      </c>
      <c r="B403" s="701" t="s">
        <v>888</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2351</v>
      </c>
    </row>
    <row r="404" spans="1:8" x14ac:dyDescent="0.2">
      <c r="A404" s="701" t="s">
        <v>2352</v>
      </c>
      <c r="B404" s="701" t="s">
        <v>889</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2353</v>
      </c>
    </row>
    <row r="405" spans="1:8" x14ac:dyDescent="0.2">
      <c r="A405" s="701" t="s">
        <v>2354</v>
      </c>
      <c r="B405" s="701" t="s">
        <v>890</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2355</v>
      </c>
    </row>
    <row r="406" spans="1:8" x14ac:dyDescent="0.2">
      <c r="A406" s="701" t="s">
        <v>2356</v>
      </c>
      <c r="B406" s="701" t="s">
        <v>891</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2357</v>
      </c>
    </row>
    <row r="407" spans="1:8" x14ac:dyDescent="0.2">
      <c r="A407" s="701" t="s">
        <v>2358</v>
      </c>
      <c r="B407" s="701" t="s">
        <v>892</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2359</v>
      </c>
    </row>
    <row r="408" spans="1:8" x14ac:dyDescent="0.2">
      <c r="A408" s="701" t="s">
        <v>2360</v>
      </c>
      <c r="B408" s="701" t="s">
        <v>893</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2361</v>
      </c>
    </row>
    <row r="409" spans="1:8" x14ac:dyDescent="0.2">
      <c r="A409" s="701" t="s">
        <v>2362</v>
      </c>
      <c r="B409" s="701" t="s">
        <v>894</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2363</v>
      </c>
    </row>
    <row r="410" spans="1:8" x14ac:dyDescent="0.2">
      <c r="A410" s="701" t="s">
        <v>2364</v>
      </c>
      <c r="B410" s="701" t="s">
        <v>895</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2365</v>
      </c>
    </row>
    <row r="411" spans="1:8" x14ac:dyDescent="0.2">
      <c r="A411" s="701" t="s">
        <v>2366</v>
      </c>
      <c r="B411" s="701" t="s">
        <v>896</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2367</v>
      </c>
    </row>
    <row r="412" spans="1:8" x14ac:dyDescent="0.2">
      <c r="A412" s="701" t="s">
        <v>2368</v>
      </c>
      <c r="B412" s="701" t="s">
        <v>897</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2369</v>
      </c>
    </row>
    <row r="413" spans="1:8" x14ac:dyDescent="0.2">
      <c r="A413" s="701" t="s">
        <v>2370</v>
      </c>
      <c r="B413" s="701" t="s">
        <v>898</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2371</v>
      </c>
    </row>
    <row r="414" spans="1:8" x14ac:dyDescent="0.2">
      <c r="A414" s="701" t="s">
        <v>2372</v>
      </c>
      <c r="B414" s="701" t="s">
        <v>899</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2373</v>
      </c>
    </row>
    <row r="415" spans="1:8" x14ac:dyDescent="0.2">
      <c r="A415" s="701" t="s">
        <v>2374</v>
      </c>
      <c r="B415" s="701" t="s">
        <v>900</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2375</v>
      </c>
    </row>
    <row r="416" spans="1:8" x14ac:dyDescent="0.2">
      <c r="A416" s="701" t="s">
        <v>2376</v>
      </c>
      <c r="B416" s="701" t="s">
        <v>901</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2377</v>
      </c>
    </row>
    <row r="417" spans="1:8" x14ac:dyDescent="0.2">
      <c r="A417" s="701" t="s">
        <v>2378</v>
      </c>
      <c r="B417" s="701" t="s">
        <v>902</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2379</v>
      </c>
    </row>
    <row r="418" spans="1:8" x14ac:dyDescent="0.2">
      <c r="A418" s="701" t="s">
        <v>2380</v>
      </c>
      <c r="B418" s="701" t="s">
        <v>903</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2381</v>
      </c>
    </row>
    <row r="419" spans="1:8" x14ac:dyDescent="0.2">
      <c r="A419" s="701" t="s">
        <v>2382</v>
      </c>
      <c r="B419" s="701" t="s">
        <v>904</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2383</v>
      </c>
    </row>
    <row r="420" spans="1:8" x14ac:dyDescent="0.2">
      <c r="A420" s="701" t="s">
        <v>2384</v>
      </c>
      <c r="B420" s="701" t="s">
        <v>905</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2385</v>
      </c>
    </row>
    <row r="421" spans="1:8" x14ac:dyDescent="0.2">
      <c r="A421" s="701" t="s">
        <v>2386</v>
      </c>
      <c r="B421" s="701" t="s">
        <v>906</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2387</v>
      </c>
    </row>
    <row r="422" spans="1:8" x14ac:dyDescent="0.2">
      <c r="A422" s="701" t="s">
        <v>2388</v>
      </c>
      <c r="B422" s="701" t="s">
        <v>907</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2389</v>
      </c>
    </row>
    <row r="423" spans="1:8" x14ac:dyDescent="0.2">
      <c r="A423" s="701" t="s">
        <v>2390</v>
      </c>
      <c r="B423" s="701" t="s">
        <v>908</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2391</v>
      </c>
    </row>
    <row r="424" spans="1:8" x14ac:dyDescent="0.2">
      <c r="A424" s="701" t="s">
        <v>2392</v>
      </c>
      <c r="B424" s="701" t="s">
        <v>909</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2393</v>
      </c>
    </row>
    <row r="425" spans="1:8" x14ac:dyDescent="0.2">
      <c r="A425" s="701" t="s">
        <v>2394</v>
      </c>
      <c r="B425" s="701" t="s">
        <v>910</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2395</v>
      </c>
    </row>
    <row r="426" spans="1:8" x14ac:dyDescent="0.2">
      <c r="A426" s="701" t="s">
        <v>2396</v>
      </c>
      <c r="B426" s="701" t="s">
        <v>911</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2397</v>
      </c>
    </row>
    <row r="427" spans="1:8" x14ac:dyDescent="0.2">
      <c r="A427" s="701" t="s">
        <v>2398</v>
      </c>
      <c r="B427" s="701" t="s">
        <v>912</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2399</v>
      </c>
    </row>
    <row r="428" spans="1:8" x14ac:dyDescent="0.2">
      <c r="A428" s="701" t="s">
        <v>2400</v>
      </c>
      <c r="B428" s="701" t="s">
        <v>913</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2401</v>
      </c>
    </row>
    <row r="429" spans="1:8" x14ac:dyDescent="0.2">
      <c r="A429" s="701" t="s">
        <v>2402</v>
      </c>
      <c r="B429" s="701" t="s">
        <v>914</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2403</v>
      </c>
    </row>
    <row r="430" spans="1:8" x14ac:dyDescent="0.2">
      <c r="A430" s="701" t="s">
        <v>2404</v>
      </c>
      <c r="B430" s="701" t="s">
        <v>915</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2405</v>
      </c>
    </row>
    <row r="431" spans="1:8" x14ac:dyDescent="0.2">
      <c r="A431" s="701" t="s">
        <v>2406</v>
      </c>
      <c r="B431" s="701" t="s">
        <v>916</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2407</v>
      </c>
    </row>
    <row r="432" spans="1:8" x14ac:dyDescent="0.2">
      <c r="A432" s="701" t="s">
        <v>2408</v>
      </c>
      <c r="B432" s="701" t="s">
        <v>917</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2409</v>
      </c>
    </row>
    <row r="433" spans="1:8" x14ac:dyDescent="0.2">
      <c r="A433" s="701" t="s">
        <v>2410</v>
      </c>
      <c r="B433" s="701" t="s">
        <v>918</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2411</v>
      </c>
    </row>
    <row r="434" spans="1:8" x14ac:dyDescent="0.2">
      <c r="A434" s="701" t="s">
        <v>2412</v>
      </c>
      <c r="B434" s="701" t="s">
        <v>919</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2413</v>
      </c>
    </row>
    <row r="435" spans="1:8" x14ac:dyDescent="0.2">
      <c r="A435" s="701" t="s">
        <v>2414</v>
      </c>
      <c r="B435" s="701" t="s">
        <v>920</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2415</v>
      </c>
    </row>
    <row r="436" spans="1:8" x14ac:dyDescent="0.2">
      <c r="A436" s="701" t="s">
        <v>2416</v>
      </c>
      <c r="B436" s="701" t="s">
        <v>921</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2417</v>
      </c>
    </row>
    <row r="437" spans="1:8" x14ac:dyDescent="0.2">
      <c r="A437" s="701" t="s">
        <v>2418</v>
      </c>
      <c r="B437" s="701" t="s">
        <v>922</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2419</v>
      </c>
    </row>
    <row r="438" spans="1:8" x14ac:dyDescent="0.2">
      <c r="A438" s="701" t="s">
        <v>2420</v>
      </c>
      <c r="B438" s="701" t="s">
        <v>923</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2421</v>
      </c>
    </row>
    <row r="439" spans="1:8" x14ac:dyDescent="0.2">
      <c r="A439" s="701" t="s">
        <v>2422</v>
      </c>
      <c r="B439" s="701" t="s">
        <v>924</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2423</v>
      </c>
    </row>
    <row r="440" spans="1:8" x14ac:dyDescent="0.2">
      <c r="A440" s="701" t="s">
        <v>2424</v>
      </c>
      <c r="B440" s="701" t="s">
        <v>925</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2425</v>
      </c>
    </row>
    <row r="441" spans="1:8" x14ac:dyDescent="0.2">
      <c r="A441" s="701" t="s">
        <v>2426</v>
      </c>
      <c r="B441" s="701" t="s">
        <v>926</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2427</v>
      </c>
    </row>
    <row r="442" spans="1:8" x14ac:dyDescent="0.2">
      <c r="A442" s="701" t="s">
        <v>2428</v>
      </c>
      <c r="B442" s="701" t="s">
        <v>927</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2429</v>
      </c>
    </row>
    <row r="443" spans="1:8" x14ac:dyDescent="0.2">
      <c r="A443" s="701" t="s">
        <v>2430</v>
      </c>
      <c r="B443" s="701" t="s">
        <v>928</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2431</v>
      </c>
    </row>
    <row r="444" spans="1:8" x14ac:dyDescent="0.2">
      <c r="A444" s="701" t="s">
        <v>2432</v>
      </c>
      <c r="B444" s="701" t="s">
        <v>929</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2433</v>
      </c>
    </row>
    <row r="445" spans="1:8" x14ac:dyDescent="0.2">
      <c r="A445" s="701" t="s">
        <v>2434</v>
      </c>
      <c r="B445" s="701" t="s">
        <v>930</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2435</v>
      </c>
    </row>
    <row r="446" spans="1:8" x14ac:dyDescent="0.2">
      <c r="A446" s="701" t="s">
        <v>2436</v>
      </c>
      <c r="B446" s="701" t="s">
        <v>931</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2437</v>
      </c>
    </row>
    <row r="447" spans="1:8" x14ac:dyDescent="0.2">
      <c r="A447" s="701" t="s">
        <v>2438</v>
      </c>
      <c r="B447" s="701" t="s">
        <v>932</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2439</v>
      </c>
    </row>
    <row r="448" spans="1:8" x14ac:dyDescent="0.2">
      <c r="A448" s="701" t="s">
        <v>2440</v>
      </c>
      <c r="B448" s="701" t="s">
        <v>933</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2441</v>
      </c>
    </row>
    <row r="449" spans="1:8" x14ac:dyDescent="0.2">
      <c r="A449" s="701" t="s">
        <v>2442</v>
      </c>
      <c r="B449" s="701" t="s">
        <v>934</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2443</v>
      </c>
    </row>
    <row r="450" spans="1:8" x14ac:dyDescent="0.2">
      <c r="A450" s="701" t="s">
        <v>2444</v>
      </c>
      <c r="B450" s="701" t="s">
        <v>935</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2445</v>
      </c>
    </row>
    <row r="451" spans="1:8" x14ac:dyDescent="0.2">
      <c r="A451" s="701" t="s">
        <v>2446</v>
      </c>
      <c r="B451" s="701" t="s">
        <v>936</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2447</v>
      </c>
    </row>
    <row r="452" spans="1:8" x14ac:dyDescent="0.2">
      <c r="A452" s="701" t="s">
        <v>2448</v>
      </c>
      <c r="B452" s="701" t="s">
        <v>937</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2449</v>
      </c>
    </row>
    <row r="453" spans="1:8" x14ac:dyDescent="0.2">
      <c r="A453" s="701" t="s">
        <v>2450</v>
      </c>
      <c r="B453" s="701" t="s">
        <v>938</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2451</v>
      </c>
    </row>
    <row r="454" spans="1:8" x14ac:dyDescent="0.2">
      <c r="A454" s="701" t="s">
        <v>2452</v>
      </c>
      <c r="B454" s="701" t="s">
        <v>939</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2453</v>
      </c>
    </row>
    <row r="455" spans="1:8" x14ac:dyDescent="0.2">
      <c r="A455" s="701" t="s">
        <v>2454</v>
      </c>
      <c r="B455" s="701" t="s">
        <v>940</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2455</v>
      </c>
    </row>
    <row r="456" spans="1:8" x14ac:dyDescent="0.2">
      <c r="A456" s="701" t="s">
        <v>2456</v>
      </c>
      <c r="B456" s="701" t="s">
        <v>941</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2457</v>
      </c>
    </row>
    <row r="457" spans="1:8" x14ac:dyDescent="0.2">
      <c r="A457" s="701" t="s">
        <v>2458</v>
      </c>
      <c r="B457" s="701" t="s">
        <v>942</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2459</v>
      </c>
    </row>
    <row r="458" spans="1:8" x14ac:dyDescent="0.2">
      <c r="A458" s="701" t="s">
        <v>2460</v>
      </c>
      <c r="B458" s="701" t="s">
        <v>943</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2461</v>
      </c>
    </row>
    <row r="459" spans="1:8" x14ac:dyDescent="0.2">
      <c r="A459" s="701" t="s">
        <v>2462</v>
      </c>
      <c r="B459" s="701" t="s">
        <v>944</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2463</v>
      </c>
    </row>
    <row r="460" spans="1:8" x14ac:dyDescent="0.2">
      <c r="A460" s="701" t="s">
        <v>2464</v>
      </c>
      <c r="B460" s="701" t="s">
        <v>945</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2465</v>
      </c>
    </row>
    <row r="461" spans="1:8" x14ac:dyDescent="0.2">
      <c r="A461" s="701" t="s">
        <v>2466</v>
      </c>
      <c r="B461" s="701" t="s">
        <v>946</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2467</v>
      </c>
    </row>
    <row r="462" spans="1:8" x14ac:dyDescent="0.2">
      <c r="A462" s="701" t="s">
        <v>2468</v>
      </c>
      <c r="B462" s="701" t="s">
        <v>947</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2469</v>
      </c>
    </row>
    <row r="463" spans="1:8" x14ac:dyDescent="0.2">
      <c r="A463" s="701" t="s">
        <v>2470</v>
      </c>
      <c r="B463" s="701" t="s">
        <v>948</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2471</v>
      </c>
    </row>
    <row r="464" spans="1:8" x14ac:dyDescent="0.2">
      <c r="A464" s="701" t="s">
        <v>2472</v>
      </c>
      <c r="B464" s="701" t="s">
        <v>949</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2473</v>
      </c>
    </row>
    <row r="465" spans="1:8" x14ac:dyDescent="0.2">
      <c r="A465" s="701" t="s">
        <v>2474</v>
      </c>
      <c r="B465" s="701" t="s">
        <v>950</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2475</v>
      </c>
    </row>
    <row r="466" spans="1:8" x14ac:dyDescent="0.2">
      <c r="A466" s="701" t="s">
        <v>2476</v>
      </c>
      <c r="B466" s="701" t="s">
        <v>951</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2477</v>
      </c>
    </row>
    <row r="467" spans="1:8" x14ac:dyDescent="0.2">
      <c r="A467" s="701" t="s">
        <v>2478</v>
      </c>
      <c r="B467" s="701" t="s">
        <v>952</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2479</v>
      </c>
    </row>
    <row r="468" spans="1:8" x14ac:dyDescent="0.2">
      <c r="A468" s="701" t="s">
        <v>2480</v>
      </c>
      <c r="B468" s="701" t="s">
        <v>953</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2481</v>
      </c>
    </row>
    <row r="469" spans="1:8" x14ac:dyDescent="0.2">
      <c r="A469" s="701" t="s">
        <v>2482</v>
      </c>
      <c r="B469" s="701" t="s">
        <v>954</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2483</v>
      </c>
    </row>
    <row r="470" spans="1:8" x14ac:dyDescent="0.2">
      <c r="A470" s="701" t="s">
        <v>2484</v>
      </c>
      <c r="B470" s="701" t="s">
        <v>955</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2485</v>
      </c>
    </row>
    <row r="471" spans="1:8" x14ac:dyDescent="0.2">
      <c r="A471" s="701" t="s">
        <v>2486</v>
      </c>
      <c r="B471" s="701" t="s">
        <v>956</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2487</v>
      </c>
    </row>
    <row r="472" spans="1:8" x14ac:dyDescent="0.2">
      <c r="A472" s="701" t="s">
        <v>2488</v>
      </c>
      <c r="B472" s="701" t="s">
        <v>957</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2489</v>
      </c>
    </row>
    <row r="473" spans="1:8" x14ac:dyDescent="0.2">
      <c r="A473" s="701" t="s">
        <v>2490</v>
      </c>
      <c r="B473" s="701" t="s">
        <v>958</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2491</v>
      </c>
    </row>
    <row r="474" spans="1:8" x14ac:dyDescent="0.2">
      <c r="A474" s="701" t="s">
        <v>2492</v>
      </c>
      <c r="B474" s="701" t="s">
        <v>959</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2493</v>
      </c>
    </row>
    <row r="475" spans="1:8" x14ac:dyDescent="0.2">
      <c r="A475" s="701" t="s">
        <v>2494</v>
      </c>
      <c r="B475" s="701" t="s">
        <v>960</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2495</v>
      </c>
    </row>
    <row r="476" spans="1:8" x14ac:dyDescent="0.2">
      <c r="A476" s="701" t="s">
        <v>2496</v>
      </c>
      <c r="B476" s="701" t="s">
        <v>961</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2497</v>
      </c>
    </row>
    <row r="477" spans="1:8" x14ac:dyDescent="0.2">
      <c r="A477" s="701" t="s">
        <v>2498</v>
      </c>
      <c r="B477" s="701" t="s">
        <v>962</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2499</v>
      </c>
    </row>
    <row r="478" spans="1:8" x14ac:dyDescent="0.2">
      <c r="A478" s="701" t="s">
        <v>2500</v>
      </c>
      <c r="B478" s="701" t="s">
        <v>963</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2501</v>
      </c>
    </row>
    <row r="479" spans="1:8" x14ac:dyDescent="0.2">
      <c r="A479" s="701" t="s">
        <v>2502</v>
      </c>
      <c r="B479" s="701" t="s">
        <v>964</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2503</v>
      </c>
    </row>
    <row r="480" spans="1:8" x14ac:dyDescent="0.2">
      <c r="A480" s="701" t="s">
        <v>2504</v>
      </c>
      <c r="B480" s="701" t="s">
        <v>965</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2505</v>
      </c>
    </row>
    <row r="481" spans="1:8" x14ac:dyDescent="0.2">
      <c r="A481" s="701" t="s">
        <v>2506</v>
      </c>
      <c r="B481" s="701" t="s">
        <v>966</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2507</v>
      </c>
    </row>
    <row r="482" spans="1:8" x14ac:dyDescent="0.2">
      <c r="A482" s="701" t="s">
        <v>2508</v>
      </c>
      <c r="B482" s="701" t="s">
        <v>967</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2509</v>
      </c>
    </row>
    <row r="483" spans="1:8" x14ac:dyDescent="0.2">
      <c r="A483" s="701" t="s">
        <v>2510</v>
      </c>
      <c r="B483" s="701" t="s">
        <v>968</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2511</v>
      </c>
    </row>
    <row r="484" spans="1:8" x14ac:dyDescent="0.2">
      <c r="A484" s="701" t="s">
        <v>2512</v>
      </c>
      <c r="B484" s="701" t="s">
        <v>969</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2513</v>
      </c>
    </row>
    <row r="485" spans="1:8" x14ac:dyDescent="0.2">
      <c r="A485" s="701" t="s">
        <v>2514</v>
      </c>
      <c r="B485" s="701" t="s">
        <v>970</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2515</v>
      </c>
    </row>
    <row r="486" spans="1:8" x14ac:dyDescent="0.2">
      <c r="A486" s="701" t="s">
        <v>2516</v>
      </c>
      <c r="B486" s="701" t="s">
        <v>971</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2517</v>
      </c>
    </row>
    <row r="487" spans="1:8" x14ac:dyDescent="0.2">
      <c r="A487" s="701" t="s">
        <v>2518</v>
      </c>
      <c r="B487" s="701" t="s">
        <v>972</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2519</v>
      </c>
    </row>
    <row r="488" spans="1:8" x14ac:dyDescent="0.2">
      <c r="A488" s="701" t="s">
        <v>2520</v>
      </c>
      <c r="B488" s="701" t="s">
        <v>973</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2521</v>
      </c>
    </row>
    <row r="489" spans="1:8" x14ac:dyDescent="0.2">
      <c r="A489" s="701" t="s">
        <v>2522</v>
      </c>
      <c r="B489" s="701" t="s">
        <v>974</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2523</v>
      </c>
    </row>
    <row r="490" spans="1:8" x14ac:dyDescent="0.2">
      <c r="A490" s="701" t="s">
        <v>2524</v>
      </c>
      <c r="B490" s="701" t="s">
        <v>975</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2525</v>
      </c>
    </row>
    <row r="491" spans="1:8" x14ac:dyDescent="0.2">
      <c r="A491" s="701" t="s">
        <v>2526</v>
      </c>
      <c r="B491" s="701" t="s">
        <v>976</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2527</v>
      </c>
    </row>
    <row r="492" spans="1:8" x14ac:dyDescent="0.2">
      <c r="A492" s="701" t="s">
        <v>2528</v>
      </c>
      <c r="B492" s="701" t="s">
        <v>977</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2529</v>
      </c>
    </row>
    <row r="493" spans="1:8" x14ac:dyDescent="0.2">
      <c r="A493" s="701" t="s">
        <v>2530</v>
      </c>
      <c r="B493" s="701" t="s">
        <v>978</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2531</v>
      </c>
    </row>
    <row r="494" spans="1:8" x14ac:dyDescent="0.2">
      <c r="A494" s="701" t="s">
        <v>2532</v>
      </c>
      <c r="B494" s="701" t="s">
        <v>979</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2533</v>
      </c>
    </row>
    <row r="495" spans="1:8" x14ac:dyDescent="0.2">
      <c r="A495" s="701" t="s">
        <v>2534</v>
      </c>
      <c r="B495" s="701" t="s">
        <v>980</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2535</v>
      </c>
    </row>
    <row r="496" spans="1:8" x14ac:dyDescent="0.2">
      <c r="A496" s="701" t="s">
        <v>2536</v>
      </c>
      <c r="B496" s="701" t="s">
        <v>981</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2537</v>
      </c>
    </row>
    <row r="497" spans="1:8" x14ac:dyDescent="0.2">
      <c r="A497" s="701" t="s">
        <v>2538</v>
      </c>
      <c r="B497" s="701" t="s">
        <v>982</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2539</v>
      </c>
    </row>
    <row r="498" spans="1:8" x14ac:dyDescent="0.2">
      <c r="A498" s="701" t="s">
        <v>2540</v>
      </c>
      <c r="B498" s="701" t="s">
        <v>983</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2541</v>
      </c>
    </row>
    <row r="499" spans="1:8" x14ac:dyDescent="0.2">
      <c r="A499" s="701" t="s">
        <v>2542</v>
      </c>
      <c r="B499" s="701" t="s">
        <v>984</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2543</v>
      </c>
    </row>
    <row r="500" spans="1:8" x14ac:dyDescent="0.2">
      <c r="A500" s="701" t="s">
        <v>2544</v>
      </c>
      <c r="B500" s="701" t="s">
        <v>985</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2545</v>
      </c>
    </row>
    <row r="501" spans="1:8" x14ac:dyDescent="0.2">
      <c r="A501" s="701" t="s">
        <v>2546</v>
      </c>
      <c r="B501" s="701" t="s">
        <v>986</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2547</v>
      </c>
    </row>
    <row r="502" spans="1:8" x14ac:dyDescent="0.2">
      <c r="A502" s="701" t="s">
        <v>2548</v>
      </c>
      <c r="B502" s="701" t="s">
        <v>987</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2549</v>
      </c>
    </row>
    <row r="503" spans="1:8" x14ac:dyDescent="0.2">
      <c r="A503" s="701" t="s">
        <v>2550</v>
      </c>
      <c r="B503" s="701" t="s">
        <v>988</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2551</v>
      </c>
    </row>
    <row r="504" spans="1:8" x14ac:dyDescent="0.2">
      <c r="A504" s="701" t="s">
        <v>2552</v>
      </c>
      <c r="B504" s="701" t="s">
        <v>989</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2553</v>
      </c>
    </row>
    <row r="505" spans="1:8" x14ac:dyDescent="0.2">
      <c r="A505" s="701" t="s">
        <v>2554</v>
      </c>
      <c r="B505" s="701" t="s">
        <v>990</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2555</v>
      </c>
    </row>
    <row r="506" spans="1:8" x14ac:dyDescent="0.2">
      <c r="A506" s="701" t="s">
        <v>2556</v>
      </c>
      <c r="B506" s="701" t="s">
        <v>991</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2557</v>
      </c>
    </row>
    <row r="507" spans="1:8" x14ac:dyDescent="0.2">
      <c r="A507" s="701" t="s">
        <v>2558</v>
      </c>
      <c r="B507" s="701" t="s">
        <v>992</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2559</v>
      </c>
    </row>
    <row r="508" spans="1:8" x14ac:dyDescent="0.2">
      <c r="A508" s="701" t="s">
        <v>2560</v>
      </c>
      <c r="B508" s="701" t="s">
        <v>993</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2561</v>
      </c>
    </row>
    <row r="509" spans="1:8" x14ac:dyDescent="0.2">
      <c r="A509" s="701" t="s">
        <v>2562</v>
      </c>
      <c r="B509" s="701" t="s">
        <v>994</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2563</v>
      </c>
    </row>
    <row r="510" spans="1:8" x14ac:dyDescent="0.2">
      <c r="A510" s="701" t="s">
        <v>2564</v>
      </c>
      <c r="B510" s="701" t="s">
        <v>995</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2565</v>
      </c>
    </row>
    <row r="511" spans="1:8" x14ac:dyDescent="0.2">
      <c r="A511" s="701" t="s">
        <v>2566</v>
      </c>
      <c r="B511" s="701" t="s">
        <v>996</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2567</v>
      </c>
    </row>
    <row r="512" spans="1:8" x14ac:dyDescent="0.2">
      <c r="A512" s="701" t="s">
        <v>2568</v>
      </c>
      <c r="B512" s="701" t="s">
        <v>997</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2569</v>
      </c>
    </row>
    <row r="513" spans="1:8" x14ac:dyDescent="0.2">
      <c r="A513" s="701" t="s">
        <v>2570</v>
      </c>
      <c r="B513" s="701" t="s">
        <v>998</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2571</v>
      </c>
    </row>
    <row r="514" spans="1:8" x14ac:dyDescent="0.2">
      <c r="A514" s="701" t="s">
        <v>2572</v>
      </c>
      <c r="B514" s="701" t="s">
        <v>999</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2573</v>
      </c>
    </row>
    <row r="515" spans="1:8" x14ac:dyDescent="0.2">
      <c r="A515" s="701" t="s">
        <v>2574</v>
      </c>
      <c r="B515" s="701" t="s">
        <v>1000</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2575</v>
      </c>
    </row>
    <row r="516" spans="1:8" x14ac:dyDescent="0.2">
      <c r="A516" s="701" t="s">
        <v>2576</v>
      </c>
      <c r="B516" s="701" t="s">
        <v>1001</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2577</v>
      </c>
    </row>
    <row r="517" spans="1:8" x14ac:dyDescent="0.2">
      <c r="A517" s="701" t="s">
        <v>2578</v>
      </c>
      <c r="B517" s="701" t="s">
        <v>1002</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2579</v>
      </c>
    </row>
    <row r="518" spans="1:8" x14ac:dyDescent="0.2">
      <c r="A518" s="701" t="s">
        <v>2580</v>
      </c>
      <c r="B518" s="701" t="s">
        <v>1003</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2581</v>
      </c>
    </row>
    <row r="519" spans="1:8" x14ac:dyDescent="0.2">
      <c r="A519" s="701" t="s">
        <v>2582</v>
      </c>
      <c r="B519" s="701" t="s">
        <v>1004</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2583</v>
      </c>
    </row>
    <row r="520" spans="1:8" x14ac:dyDescent="0.2">
      <c r="A520" s="701" t="s">
        <v>2584</v>
      </c>
      <c r="B520" s="701" t="s">
        <v>1005</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2585</v>
      </c>
    </row>
    <row r="521" spans="1:8" x14ac:dyDescent="0.2">
      <c r="A521" s="701" t="s">
        <v>2586</v>
      </c>
      <c r="B521" s="701" t="s">
        <v>1006</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2587</v>
      </c>
    </row>
    <row r="522" spans="1:8" x14ac:dyDescent="0.2">
      <c r="A522" s="701" t="s">
        <v>2588</v>
      </c>
      <c r="B522" s="701" t="s">
        <v>1007</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2589</v>
      </c>
    </row>
    <row r="523" spans="1:8" x14ac:dyDescent="0.2">
      <c r="A523" s="701" t="s">
        <v>2590</v>
      </c>
      <c r="B523" s="701" t="s">
        <v>1008</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2591</v>
      </c>
    </row>
    <row r="524" spans="1:8" x14ac:dyDescent="0.2">
      <c r="A524" s="701" t="s">
        <v>2592</v>
      </c>
      <c r="B524" s="701" t="s">
        <v>1009</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2593</v>
      </c>
    </row>
    <row r="525" spans="1:8" x14ac:dyDescent="0.2">
      <c r="A525" s="701" t="s">
        <v>2594</v>
      </c>
      <c r="B525" s="701" t="s">
        <v>1010</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2595</v>
      </c>
    </row>
    <row r="526" spans="1:8" x14ac:dyDescent="0.2">
      <c r="A526" s="701" t="s">
        <v>2596</v>
      </c>
      <c r="B526" s="701" t="s">
        <v>1011</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2597</v>
      </c>
    </row>
    <row r="527" spans="1:8" x14ac:dyDescent="0.2">
      <c r="A527" s="701" t="s">
        <v>2598</v>
      </c>
      <c r="B527" s="701" t="s">
        <v>1012</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2599</v>
      </c>
    </row>
    <row r="528" spans="1:8" x14ac:dyDescent="0.2">
      <c r="A528" s="701" t="s">
        <v>2600</v>
      </c>
      <c r="B528" s="701" t="s">
        <v>1013</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2601</v>
      </c>
    </row>
    <row r="529" spans="1:8" x14ac:dyDescent="0.2">
      <c r="A529" s="701" t="s">
        <v>2602</v>
      </c>
      <c r="B529" s="701" t="s">
        <v>1014</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2603</v>
      </c>
    </row>
    <row r="530" spans="1:8" x14ac:dyDescent="0.2">
      <c r="A530" s="701" t="s">
        <v>2604</v>
      </c>
      <c r="B530" s="701" t="s">
        <v>1015</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2605</v>
      </c>
    </row>
    <row r="531" spans="1:8" x14ac:dyDescent="0.2">
      <c r="A531" s="701" t="s">
        <v>2606</v>
      </c>
      <c r="B531" s="701" t="s">
        <v>1016</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2607</v>
      </c>
    </row>
    <row r="532" spans="1:8" x14ac:dyDescent="0.2">
      <c r="A532" s="701" t="s">
        <v>2608</v>
      </c>
      <c r="B532" s="701" t="s">
        <v>1017</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2609</v>
      </c>
    </row>
    <row r="533" spans="1:8" x14ac:dyDescent="0.2">
      <c r="A533" s="701" t="s">
        <v>2610</v>
      </c>
      <c r="B533" s="701" t="s">
        <v>1018</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2611</v>
      </c>
    </row>
    <row r="534" spans="1:8" x14ac:dyDescent="0.2">
      <c r="A534" s="701" t="s">
        <v>2612</v>
      </c>
      <c r="B534" s="701" t="s">
        <v>1019</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2613</v>
      </c>
    </row>
    <row r="535" spans="1:8" x14ac:dyDescent="0.2">
      <c r="A535" s="701" t="s">
        <v>2614</v>
      </c>
      <c r="B535" s="701" t="s">
        <v>1020</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2615</v>
      </c>
    </row>
    <row r="536" spans="1:8" x14ac:dyDescent="0.2">
      <c r="A536" s="701" t="s">
        <v>2616</v>
      </c>
      <c r="B536" s="701" t="s">
        <v>1021</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2617</v>
      </c>
    </row>
    <row r="537" spans="1:8" x14ac:dyDescent="0.2">
      <c r="A537" s="701" t="s">
        <v>2618</v>
      </c>
      <c r="B537" s="701" t="s">
        <v>1022</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2619</v>
      </c>
    </row>
    <row r="538" spans="1:8" x14ac:dyDescent="0.2">
      <c r="A538" s="701" t="s">
        <v>2620</v>
      </c>
      <c r="B538" s="701" t="s">
        <v>1023</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2621</v>
      </c>
    </row>
    <row r="539" spans="1:8" x14ac:dyDescent="0.2">
      <c r="A539" s="701" t="s">
        <v>2622</v>
      </c>
      <c r="B539" s="701" t="s">
        <v>1024</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2623</v>
      </c>
    </row>
    <row r="540" spans="1:8" x14ac:dyDescent="0.2">
      <c r="A540" s="701" t="s">
        <v>2624</v>
      </c>
      <c r="B540" s="701" t="s">
        <v>1025</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2625</v>
      </c>
    </row>
    <row r="541" spans="1:8" x14ac:dyDescent="0.2">
      <c r="A541" s="701" t="s">
        <v>2626</v>
      </c>
      <c r="B541" s="701" t="s">
        <v>1026</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2627</v>
      </c>
    </row>
    <row r="542" spans="1:8" x14ac:dyDescent="0.2">
      <c r="A542" s="701" t="s">
        <v>2628</v>
      </c>
      <c r="B542" s="701" t="s">
        <v>1027</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2629</v>
      </c>
    </row>
    <row r="543" spans="1:8" x14ac:dyDescent="0.2">
      <c r="A543" s="701" t="s">
        <v>2630</v>
      </c>
      <c r="B543" s="701" t="s">
        <v>1028</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2631</v>
      </c>
    </row>
    <row r="544" spans="1:8" x14ac:dyDescent="0.2">
      <c r="A544" s="701" t="s">
        <v>2632</v>
      </c>
      <c r="B544" s="701" t="s">
        <v>1029</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2633</v>
      </c>
    </row>
    <row r="545" spans="1:8" x14ac:dyDescent="0.2">
      <c r="A545" s="701" t="s">
        <v>2634</v>
      </c>
      <c r="B545" s="701" t="s">
        <v>1030</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2635</v>
      </c>
    </row>
    <row r="546" spans="1:8" x14ac:dyDescent="0.2">
      <c r="A546" s="701" t="s">
        <v>2636</v>
      </c>
      <c r="B546" s="701" t="s">
        <v>1031</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2637</v>
      </c>
    </row>
    <row r="547" spans="1:8" x14ac:dyDescent="0.2">
      <c r="A547" s="701" t="s">
        <v>2638</v>
      </c>
      <c r="B547" s="701" t="s">
        <v>1032</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2639</v>
      </c>
    </row>
    <row r="548" spans="1:8" x14ac:dyDescent="0.2">
      <c r="A548" s="701" t="s">
        <v>2640</v>
      </c>
      <c r="B548" s="701" t="s">
        <v>1033</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2641</v>
      </c>
    </row>
    <row r="549" spans="1:8" x14ac:dyDescent="0.2">
      <c r="A549" s="701" t="s">
        <v>2642</v>
      </c>
      <c r="B549" s="701" t="s">
        <v>1034</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2643</v>
      </c>
    </row>
    <row r="550" spans="1:8" x14ac:dyDescent="0.2">
      <c r="A550" s="701" t="s">
        <v>2644</v>
      </c>
      <c r="B550" s="701" t="s">
        <v>1035</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2645</v>
      </c>
    </row>
    <row r="551" spans="1:8" x14ac:dyDescent="0.2">
      <c r="A551" s="701" t="s">
        <v>2646</v>
      </c>
      <c r="B551" s="701" t="s">
        <v>1036</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2647</v>
      </c>
    </row>
    <row r="552" spans="1:8" x14ac:dyDescent="0.2">
      <c r="A552" s="701" t="s">
        <v>2648</v>
      </c>
      <c r="B552" s="701" t="s">
        <v>1037</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2649</v>
      </c>
    </row>
    <row r="553" spans="1:8" x14ac:dyDescent="0.2">
      <c r="A553" s="701" t="s">
        <v>2650</v>
      </c>
      <c r="B553" s="701" t="s">
        <v>1038</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2651</v>
      </c>
    </row>
    <row r="554" spans="1:8" x14ac:dyDescent="0.2">
      <c r="A554" s="701" t="s">
        <v>2652</v>
      </c>
      <c r="B554" s="701" t="s">
        <v>1039</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2653</v>
      </c>
    </row>
    <row r="555" spans="1:8" x14ac:dyDescent="0.2">
      <c r="A555" s="701" t="s">
        <v>2654</v>
      </c>
      <c r="B555" s="701" t="s">
        <v>1040</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2655</v>
      </c>
    </row>
    <row r="556" spans="1:8" x14ac:dyDescent="0.2">
      <c r="A556" s="701" t="s">
        <v>2656</v>
      </c>
      <c r="B556" s="701" t="s">
        <v>1041</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2657</v>
      </c>
    </row>
    <row r="557" spans="1:8" x14ac:dyDescent="0.2">
      <c r="A557" s="701" t="s">
        <v>2658</v>
      </c>
      <c r="B557" s="701" t="s">
        <v>1042</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2659</v>
      </c>
    </row>
    <row r="558" spans="1:8" x14ac:dyDescent="0.2">
      <c r="A558" s="701" t="s">
        <v>2660</v>
      </c>
      <c r="B558" s="701" t="s">
        <v>1043</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2661</v>
      </c>
    </row>
    <row r="559" spans="1:8" x14ac:dyDescent="0.2">
      <c r="A559" s="701" t="s">
        <v>2662</v>
      </c>
      <c r="B559" s="701" t="s">
        <v>1044</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2663</v>
      </c>
    </row>
    <row r="560" spans="1:8" x14ac:dyDescent="0.2">
      <c r="A560" s="701" t="s">
        <v>2664</v>
      </c>
      <c r="B560" s="701" t="s">
        <v>1045</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2665</v>
      </c>
    </row>
    <row r="561" spans="1:8" x14ac:dyDescent="0.2">
      <c r="A561" s="701" t="s">
        <v>2666</v>
      </c>
      <c r="B561" s="701" t="s">
        <v>1046</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2667</v>
      </c>
    </row>
    <row r="562" spans="1:8" x14ac:dyDescent="0.2">
      <c r="A562" s="701" t="s">
        <v>2668</v>
      </c>
      <c r="B562" s="701" t="s">
        <v>1047</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2669</v>
      </c>
    </row>
    <row r="563" spans="1:8" x14ac:dyDescent="0.2">
      <c r="A563" s="701" t="s">
        <v>2670</v>
      </c>
      <c r="B563" s="701" t="s">
        <v>1048</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2671</v>
      </c>
    </row>
    <row r="564" spans="1:8" x14ac:dyDescent="0.2">
      <c r="A564" s="701" t="s">
        <v>2672</v>
      </c>
      <c r="B564" s="701" t="s">
        <v>1049</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2673</v>
      </c>
    </row>
    <row r="565" spans="1:8" x14ac:dyDescent="0.2">
      <c r="A565" s="701" t="s">
        <v>2674</v>
      </c>
      <c r="B565" s="701" t="s">
        <v>1050</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2675</v>
      </c>
    </row>
    <row r="566" spans="1:8" x14ac:dyDescent="0.2">
      <c r="A566" s="701" t="s">
        <v>2676</v>
      </c>
      <c r="B566" s="701" t="s">
        <v>1051</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2677</v>
      </c>
    </row>
    <row r="567" spans="1:8" x14ac:dyDescent="0.2">
      <c r="A567" s="701" t="s">
        <v>2678</v>
      </c>
      <c r="B567" s="701" t="s">
        <v>1052</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2679</v>
      </c>
    </row>
    <row r="568" spans="1:8" x14ac:dyDescent="0.2">
      <c r="A568" s="701" t="s">
        <v>2680</v>
      </c>
      <c r="B568" s="701" t="s">
        <v>1053</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2681</v>
      </c>
    </row>
    <row r="569" spans="1:8" x14ac:dyDescent="0.2">
      <c r="A569" s="701" t="s">
        <v>2682</v>
      </c>
      <c r="B569" s="701" t="s">
        <v>1054</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2683</v>
      </c>
    </row>
    <row r="570" spans="1:8" x14ac:dyDescent="0.2">
      <c r="A570" s="701" t="s">
        <v>2684</v>
      </c>
      <c r="B570" s="701" t="s">
        <v>1055</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2685</v>
      </c>
    </row>
    <row r="571" spans="1:8" x14ac:dyDescent="0.2">
      <c r="A571" s="701" t="s">
        <v>2686</v>
      </c>
      <c r="B571" s="701" t="s">
        <v>1056</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2687</v>
      </c>
    </row>
    <row r="572" spans="1:8" x14ac:dyDescent="0.2">
      <c r="A572" s="701" t="s">
        <v>2688</v>
      </c>
      <c r="B572" s="701" t="s">
        <v>1057</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2689</v>
      </c>
    </row>
    <row r="573" spans="1:8" x14ac:dyDescent="0.2">
      <c r="A573" s="701" t="s">
        <v>2690</v>
      </c>
      <c r="B573" s="701" t="s">
        <v>1058</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2691</v>
      </c>
    </row>
    <row r="574" spans="1:8" x14ac:dyDescent="0.2">
      <c r="A574" s="701" t="s">
        <v>2692</v>
      </c>
      <c r="B574" s="701" t="s">
        <v>1059</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2693</v>
      </c>
    </row>
    <row r="575" spans="1:8" x14ac:dyDescent="0.2">
      <c r="A575" s="701" t="s">
        <v>2694</v>
      </c>
      <c r="B575" s="701" t="s">
        <v>1060</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2695</v>
      </c>
    </row>
    <row r="576" spans="1:8" x14ac:dyDescent="0.2">
      <c r="A576" s="701" t="s">
        <v>2696</v>
      </c>
      <c r="B576" s="701" t="s">
        <v>1061</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2697</v>
      </c>
    </row>
    <row r="577" spans="1:8" x14ac:dyDescent="0.2">
      <c r="A577" s="701" t="s">
        <v>2698</v>
      </c>
      <c r="B577" s="701" t="s">
        <v>1062</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2699</v>
      </c>
    </row>
    <row r="578" spans="1:8" x14ac:dyDescent="0.2">
      <c r="A578" s="701" t="s">
        <v>2700</v>
      </c>
      <c r="B578" s="701" t="s">
        <v>1063</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2701</v>
      </c>
    </row>
    <row r="579" spans="1:8" x14ac:dyDescent="0.2">
      <c r="A579" s="701" t="s">
        <v>2702</v>
      </c>
      <c r="B579" s="701" t="s">
        <v>1064</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2703</v>
      </c>
    </row>
    <row r="580" spans="1:8" x14ac:dyDescent="0.2">
      <c r="A580" s="701" t="s">
        <v>2704</v>
      </c>
      <c r="B580" s="701" t="s">
        <v>1065</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2705</v>
      </c>
    </row>
    <row r="581" spans="1:8" x14ac:dyDescent="0.2">
      <c r="A581" s="701" t="s">
        <v>2706</v>
      </c>
      <c r="B581" s="701" t="s">
        <v>1066</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2707</v>
      </c>
    </row>
    <row r="582" spans="1:8" x14ac:dyDescent="0.2">
      <c r="A582" s="701" t="s">
        <v>2708</v>
      </c>
      <c r="B582" s="701" t="s">
        <v>1067</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2709</v>
      </c>
    </row>
    <row r="583" spans="1:8" x14ac:dyDescent="0.2">
      <c r="A583" s="701" t="s">
        <v>2710</v>
      </c>
      <c r="B583" s="701" t="s">
        <v>1068</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2711</v>
      </c>
    </row>
    <row r="584" spans="1:8" x14ac:dyDescent="0.2">
      <c r="A584" s="701" t="s">
        <v>2712</v>
      </c>
      <c r="B584" s="701" t="s">
        <v>1069</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2713</v>
      </c>
    </row>
    <row r="585" spans="1:8" x14ac:dyDescent="0.2">
      <c r="A585" s="701" t="s">
        <v>2714</v>
      </c>
      <c r="B585" s="701" t="s">
        <v>1070</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2715</v>
      </c>
    </row>
    <row r="586" spans="1:8" x14ac:dyDescent="0.2">
      <c r="A586" s="701" t="s">
        <v>2716</v>
      </c>
      <c r="B586" s="701" t="s">
        <v>1071</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2717</v>
      </c>
    </row>
    <row r="587" spans="1:8" x14ac:dyDescent="0.2">
      <c r="A587" s="701" t="s">
        <v>2718</v>
      </c>
      <c r="B587" s="701" t="s">
        <v>1072</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2719</v>
      </c>
    </row>
    <row r="588" spans="1:8" x14ac:dyDescent="0.2">
      <c r="A588" s="701" t="s">
        <v>2720</v>
      </c>
      <c r="B588" s="701" t="s">
        <v>1073</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2721</v>
      </c>
    </row>
    <row r="589" spans="1:8" x14ac:dyDescent="0.2">
      <c r="A589" s="701" t="s">
        <v>2722</v>
      </c>
      <c r="B589" s="701" t="s">
        <v>1074</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2723</v>
      </c>
    </row>
    <row r="590" spans="1:8" x14ac:dyDescent="0.2">
      <c r="A590" s="701" t="s">
        <v>2724</v>
      </c>
      <c r="B590" s="701" t="s">
        <v>1075</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2725</v>
      </c>
    </row>
    <row r="591" spans="1:8" x14ac:dyDescent="0.2">
      <c r="A591" s="701" t="s">
        <v>2726</v>
      </c>
      <c r="B591" s="701" t="s">
        <v>1076</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2727</v>
      </c>
    </row>
    <row r="592" spans="1:8" x14ac:dyDescent="0.2">
      <c r="A592" s="701" t="s">
        <v>2728</v>
      </c>
      <c r="B592" s="701" t="s">
        <v>1077</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2729</v>
      </c>
    </row>
    <row r="593" spans="1:8" x14ac:dyDescent="0.2">
      <c r="A593" s="701" t="s">
        <v>2730</v>
      </c>
      <c r="B593" s="701" t="s">
        <v>1078</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2731</v>
      </c>
    </row>
    <row r="594" spans="1:8" x14ac:dyDescent="0.2">
      <c r="A594" s="701" t="s">
        <v>2732</v>
      </c>
      <c r="B594" s="701" t="s">
        <v>1079</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2733</v>
      </c>
    </row>
    <row r="595" spans="1:8" x14ac:dyDescent="0.2">
      <c r="A595" s="701" t="s">
        <v>2734</v>
      </c>
      <c r="B595" s="701" t="s">
        <v>1080</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2735</v>
      </c>
    </row>
    <row r="596" spans="1:8" x14ac:dyDescent="0.2">
      <c r="A596" s="701" t="s">
        <v>2736</v>
      </c>
      <c r="B596" s="701" t="s">
        <v>1081</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2737</v>
      </c>
    </row>
    <row r="597" spans="1:8" x14ac:dyDescent="0.2">
      <c r="A597" s="701" t="s">
        <v>2738</v>
      </c>
      <c r="B597" s="701" t="s">
        <v>1082</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2739</v>
      </c>
    </row>
    <row r="598" spans="1:8" x14ac:dyDescent="0.2">
      <c r="A598" s="701" t="s">
        <v>2740</v>
      </c>
      <c r="B598" s="701" t="s">
        <v>1083</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2741</v>
      </c>
    </row>
    <row r="599" spans="1:8" x14ac:dyDescent="0.2">
      <c r="A599" s="701" t="s">
        <v>2742</v>
      </c>
      <c r="B599" s="701" t="s">
        <v>1084</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2743</v>
      </c>
    </row>
    <row r="600" spans="1:8" x14ac:dyDescent="0.2">
      <c r="A600" s="701" t="s">
        <v>2744</v>
      </c>
      <c r="B600" s="701" t="s">
        <v>1085</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2745</v>
      </c>
    </row>
    <row r="601" spans="1:8" x14ac:dyDescent="0.2">
      <c r="A601" s="701" t="s">
        <v>2746</v>
      </c>
      <c r="B601" s="701" t="s">
        <v>1086</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2747</v>
      </c>
    </row>
    <row r="602" spans="1:8" x14ac:dyDescent="0.2">
      <c r="A602" s="701" t="s">
        <v>2748</v>
      </c>
      <c r="B602" s="701" t="s">
        <v>1087</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2749</v>
      </c>
    </row>
    <row r="603" spans="1:8" x14ac:dyDescent="0.2">
      <c r="A603" s="701" t="s">
        <v>2750</v>
      </c>
      <c r="B603" s="701" t="s">
        <v>1088</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2751</v>
      </c>
    </row>
    <row r="604" spans="1:8" x14ac:dyDescent="0.2">
      <c r="A604" s="701" t="s">
        <v>2752</v>
      </c>
      <c r="B604" s="701" t="s">
        <v>1089</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2753</v>
      </c>
    </row>
    <row r="605" spans="1:8" x14ac:dyDescent="0.2">
      <c r="A605" s="701" t="s">
        <v>2754</v>
      </c>
      <c r="B605" s="701" t="s">
        <v>1090</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2755</v>
      </c>
    </row>
    <row r="606" spans="1:8" x14ac:dyDescent="0.2">
      <c r="A606" s="701" t="s">
        <v>2756</v>
      </c>
      <c r="B606" s="701" t="s">
        <v>1091</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2757</v>
      </c>
    </row>
    <row r="607" spans="1:8" x14ac:dyDescent="0.2">
      <c r="A607" s="701" t="s">
        <v>2758</v>
      </c>
      <c r="B607" s="701" t="s">
        <v>1092</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2759</v>
      </c>
    </row>
    <row r="608" spans="1:8" x14ac:dyDescent="0.2">
      <c r="A608" s="701" t="s">
        <v>2760</v>
      </c>
      <c r="B608" s="701" t="s">
        <v>1093</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2761</v>
      </c>
    </row>
    <row r="609" spans="1:8" x14ac:dyDescent="0.2">
      <c r="A609" s="701" t="s">
        <v>2762</v>
      </c>
      <c r="B609" s="701" t="s">
        <v>1094</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2763</v>
      </c>
    </row>
    <row r="610" spans="1:8" x14ac:dyDescent="0.2">
      <c r="A610" s="701" t="s">
        <v>2764</v>
      </c>
      <c r="B610" s="701" t="s">
        <v>1095</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2765</v>
      </c>
    </row>
    <row r="611" spans="1:8" x14ac:dyDescent="0.2">
      <c r="A611" s="701" t="s">
        <v>2766</v>
      </c>
      <c r="B611" s="701" t="s">
        <v>1096</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2767</v>
      </c>
    </row>
    <row r="612" spans="1:8" x14ac:dyDescent="0.2">
      <c r="A612" s="701" t="s">
        <v>2768</v>
      </c>
      <c r="B612" s="701" t="s">
        <v>1097</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2769</v>
      </c>
    </row>
    <row r="613" spans="1:8" x14ac:dyDescent="0.2">
      <c r="A613" s="701" t="s">
        <v>2770</v>
      </c>
      <c r="B613" s="701" t="s">
        <v>1098</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2771</v>
      </c>
    </row>
    <row r="614" spans="1:8" x14ac:dyDescent="0.2">
      <c r="A614" s="701" t="s">
        <v>2772</v>
      </c>
      <c r="B614" s="701" t="s">
        <v>1099</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2773</v>
      </c>
    </row>
    <row r="615" spans="1:8" x14ac:dyDescent="0.2">
      <c r="A615" s="701" t="s">
        <v>2774</v>
      </c>
      <c r="B615" s="701" t="s">
        <v>1100</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2775</v>
      </c>
    </row>
    <row r="616" spans="1:8" x14ac:dyDescent="0.2">
      <c r="A616" s="701" t="s">
        <v>2776</v>
      </c>
      <c r="B616" s="701" t="s">
        <v>1101</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2777</v>
      </c>
    </row>
    <row r="617" spans="1:8" x14ac:dyDescent="0.2">
      <c r="A617" s="701" t="s">
        <v>2778</v>
      </c>
      <c r="B617" s="701" t="s">
        <v>1102</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2779</v>
      </c>
    </row>
    <row r="618" spans="1:8" x14ac:dyDescent="0.2">
      <c r="A618" s="701" t="s">
        <v>2780</v>
      </c>
      <c r="B618" s="701" t="s">
        <v>1103</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2781</v>
      </c>
    </row>
    <row r="619" spans="1:8" x14ac:dyDescent="0.2">
      <c r="A619" s="701" t="s">
        <v>2782</v>
      </c>
      <c r="B619" s="701" t="s">
        <v>1104</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2783</v>
      </c>
    </row>
    <row r="620" spans="1:8" x14ac:dyDescent="0.2">
      <c r="A620" s="701" t="s">
        <v>2784</v>
      </c>
      <c r="B620" s="701" t="s">
        <v>1105</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2785</v>
      </c>
    </row>
    <row r="621" spans="1:8" x14ac:dyDescent="0.2">
      <c r="A621" s="701" t="s">
        <v>2786</v>
      </c>
      <c r="B621" s="701" t="s">
        <v>1106</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2787</v>
      </c>
    </row>
    <row r="622" spans="1:8" x14ac:dyDescent="0.2">
      <c r="A622" s="701" t="s">
        <v>2788</v>
      </c>
      <c r="B622" s="701" t="s">
        <v>1107</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2789</v>
      </c>
    </row>
    <row r="623" spans="1:8" x14ac:dyDescent="0.2">
      <c r="A623" s="701" t="s">
        <v>2790</v>
      </c>
      <c r="B623" s="701" t="s">
        <v>1108</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2791</v>
      </c>
    </row>
    <row r="624" spans="1:8" x14ac:dyDescent="0.2">
      <c r="A624" s="701" t="s">
        <v>2792</v>
      </c>
      <c r="B624" s="701" t="s">
        <v>1109</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2793</v>
      </c>
    </row>
    <row r="625" spans="1:8" x14ac:dyDescent="0.2">
      <c r="A625" s="701" t="s">
        <v>2794</v>
      </c>
      <c r="B625" s="701" t="s">
        <v>1110</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2795</v>
      </c>
    </row>
    <row r="626" spans="1:8" x14ac:dyDescent="0.2">
      <c r="A626" s="701" t="s">
        <v>2796</v>
      </c>
      <c r="B626" s="701" t="s">
        <v>1111</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2797</v>
      </c>
    </row>
    <row r="627" spans="1:8" x14ac:dyDescent="0.2">
      <c r="A627" s="701" t="s">
        <v>2798</v>
      </c>
      <c r="B627" s="701" t="s">
        <v>1112</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2799</v>
      </c>
    </row>
    <row r="628" spans="1:8" x14ac:dyDescent="0.2">
      <c r="A628" s="701" t="s">
        <v>2800</v>
      </c>
      <c r="B628" s="701" t="s">
        <v>1113</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2801</v>
      </c>
    </row>
    <row r="629" spans="1:8" x14ac:dyDescent="0.2">
      <c r="A629" s="701" t="s">
        <v>2802</v>
      </c>
      <c r="B629" s="701" t="s">
        <v>1114</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2803</v>
      </c>
    </row>
    <row r="630" spans="1:8" x14ac:dyDescent="0.2">
      <c r="A630" s="701" t="s">
        <v>2804</v>
      </c>
      <c r="B630" s="701" t="s">
        <v>1115</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2805</v>
      </c>
    </row>
    <row r="631" spans="1:8" x14ac:dyDescent="0.2">
      <c r="A631" s="701" t="s">
        <v>2806</v>
      </c>
      <c r="B631" s="701" t="s">
        <v>1116</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2807</v>
      </c>
    </row>
    <row r="632" spans="1:8" x14ac:dyDescent="0.2">
      <c r="A632" s="701" t="s">
        <v>2808</v>
      </c>
      <c r="B632" s="701" t="s">
        <v>1117</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2809</v>
      </c>
    </row>
    <row r="633" spans="1:8" x14ac:dyDescent="0.2">
      <c r="A633" s="701" t="s">
        <v>2810</v>
      </c>
      <c r="B633" s="701" t="s">
        <v>1118</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2811</v>
      </c>
    </row>
    <row r="634" spans="1:8" x14ac:dyDescent="0.2">
      <c r="A634" s="701" t="s">
        <v>2812</v>
      </c>
      <c r="B634" s="701" t="s">
        <v>1119</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2813</v>
      </c>
    </row>
    <row r="635" spans="1:8" x14ac:dyDescent="0.2">
      <c r="A635" s="701" t="s">
        <v>2814</v>
      </c>
      <c r="B635" s="701" t="s">
        <v>1120</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2815</v>
      </c>
    </row>
    <row r="636" spans="1:8" x14ac:dyDescent="0.2">
      <c r="A636" s="701" t="s">
        <v>2816</v>
      </c>
      <c r="B636" s="701" t="s">
        <v>1121</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2817</v>
      </c>
    </row>
    <row r="637" spans="1:8" x14ac:dyDescent="0.2">
      <c r="A637" s="701" t="s">
        <v>2818</v>
      </c>
      <c r="B637" s="701" t="s">
        <v>1122</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2819</v>
      </c>
    </row>
    <row r="638" spans="1:8" x14ac:dyDescent="0.2">
      <c r="A638" s="701" t="s">
        <v>2820</v>
      </c>
      <c r="B638" s="701" t="s">
        <v>1123</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2821</v>
      </c>
    </row>
    <row r="639" spans="1:8" x14ac:dyDescent="0.2">
      <c r="A639" s="701" t="s">
        <v>2822</v>
      </c>
      <c r="B639" s="701" t="s">
        <v>1124</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2823</v>
      </c>
    </row>
    <row r="640" spans="1:8" x14ac:dyDescent="0.2">
      <c r="A640" s="701" t="s">
        <v>2824</v>
      </c>
      <c r="B640" s="701" t="s">
        <v>1125</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2825</v>
      </c>
    </row>
    <row r="641" spans="1:8" x14ac:dyDescent="0.2">
      <c r="A641" s="701" t="s">
        <v>2826</v>
      </c>
      <c r="B641" s="701" t="s">
        <v>1126</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2827</v>
      </c>
    </row>
    <row r="642" spans="1:8" x14ac:dyDescent="0.2">
      <c r="A642" s="701" t="s">
        <v>2828</v>
      </c>
      <c r="B642" s="701" t="s">
        <v>1127</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2829</v>
      </c>
    </row>
    <row r="643" spans="1:8" x14ac:dyDescent="0.2">
      <c r="A643" s="701" t="s">
        <v>2830</v>
      </c>
      <c r="B643" s="701" t="s">
        <v>1128</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2831</v>
      </c>
    </row>
    <row r="644" spans="1:8" x14ac:dyDescent="0.2">
      <c r="A644" s="701" t="s">
        <v>2832</v>
      </c>
      <c r="B644" s="701" t="s">
        <v>1129</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2833</v>
      </c>
    </row>
    <row r="645" spans="1:8" x14ac:dyDescent="0.2">
      <c r="A645" s="701" t="s">
        <v>2834</v>
      </c>
      <c r="B645" s="701" t="s">
        <v>1130</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2835</v>
      </c>
    </row>
    <row r="646" spans="1:8" x14ac:dyDescent="0.2">
      <c r="A646" s="701" t="s">
        <v>2836</v>
      </c>
      <c r="B646" s="701" t="s">
        <v>1131</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2837</v>
      </c>
    </row>
    <row r="647" spans="1:8" x14ac:dyDescent="0.2">
      <c r="A647" s="701" t="s">
        <v>2838</v>
      </c>
      <c r="B647" s="701" t="s">
        <v>1132</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2839</v>
      </c>
    </row>
    <row r="648" spans="1:8" x14ac:dyDescent="0.2">
      <c r="A648" s="701" t="s">
        <v>2840</v>
      </c>
      <c r="B648" s="701" t="s">
        <v>1133</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2841</v>
      </c>
    </row>
    <row r="649" spans="1:8" x14ac:dyDescent="0.2">
      <c r="A649" s="701" t="s">
        <v>2842</v>
      </c>
      <c r="B649" s="701" t="s">
        <v>1134</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2843</v>
      </c>
    </row>
    <row r="650" spans="1:8" x14ac:dyDescent="0.2">
      <c r="A650" s="701" t="s">
        <v>2844</v>
      </c>
      <c r="B650" s="701" t="s">
        <v>1135</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2845</v>
      </c>
    </row>
    <row r="651" spans="1:8" x14ac:dyDescent="0.2">
      <c r="A651" s="701" t="s">
        <v>2846</v>
      </c>
      <c r="B651" s="701" t="s">
        <v>1136</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2847</v>
      </c>
    </row>
    <row r="652" spans="1:8" x14ac:dyDescent="0.2">
      <c r="A652" s="701" t="s">
        <v>2848</v>
      </c>
      <c r="B652" s="701" t="s">
        <v>1137</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2849</v>
      </c>
    </row>
    <row r="653" spans="1:8" x14ac:dyDescent="0.2">
      <c r="A653" s="701" t="s">
        <v>2850</v>
      </c>
      <c r="B653" s="701" t="s">
        <v>1138</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2851</v>
      </c>
    </row>
    <row r="654" spans="1:8" x14ac:dyDescent="0.2">
      <c r="A654" s="701" t="s">
        <v>2852</v>
      </c>
      <c r="B654" s="701" t="s">
        <v>1139</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2853</v>
      </c>
    </row>
    <row r="655" spans="1:8" x14ac:dyDescent="0.2">
      <c r="A655" s="701" t="s">
        <v>2854</v>
      </c>
      <c r="B655" s="701" t="s">
        <v>1140</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2855</v>
      </c>
    </row>
    <row r="656" spans="1:8" x14ac:dyDescent="0.2">
      <c r="A656" s="701" t="s">
        <v>2856</v>
      </c>
      <c r="B656" s="701" t="s">
        <v>1141</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2857</v>
      </c>
    </row>
    <row r="657" spans="1:8" x14ac:dyDescent="0.2">
      <c r="A657" s="701" t="s">
        <v>2858</v>
      </c>
      <c r="B657" s="701" t="s">
        <v>1142</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2859</v>
      </c>
    </row>
    <row r="658" spans="1:8" x14ac:dyDescent="0.2">
      <c r="A658" s="701" t="s">
        <v>2860</v>
      </c>
      <c r="B658" s="701" t="s">
        <v>1143</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2861</v>
      </c>
    </row>
    <row r="659" spans="1:8" x14ac:dyDescent="0.2">
      <c r="A659" s="701" t="s">
        <v>2862</v>
      </c>
      <c r="B659" s="701" t="s">
        <v>1144</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2863</v>
      </c>
    </row>
    <row r="660" spans="1:8" x14ac:dyDescent="0.2">
      <c r="A660" s="701" t="s">
        <v>2864</v>
      </c>
      <c r="B660" s="701" t="s">
        <v>1145</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2865</v>
      </c>
    </row>
    <row r="661" spans="1:8" x14ac:dyDescent="0.2">
      <c r="A661" s="701" t="s">
        <v>2866</v>
      </c>
      <c r="B661" s="701" t="s">
        <v>1146</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2867</v>
      </c>
    </row>
    <row r="662" spans="1:8" x14ac:dyDescent="0.2">
      <c r="A662" s="701" t="s">
        <v>2868</v>
      </c>
      <c r="B662" s="701" t="s">
        <v>1147</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2869</v>
      </c>
    </row>
    <row r="663" spans="1:8" x14ac:dyDescent="0.2">
      <c r="A663" s="701" t="s">
        <v>2870</v>
      </c>
      <c r="B663" s="701" t="s">
        <v>1148</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2871</v>
      </c>
    </row>
    <row r="664" spans="1:8" x14ac:dyDescent="0.2">
      <c r="A664" s="701" t="s">
        <v>2872</v>
      </c>
      <c r="B664" s="701" t="s">
        <v>1149</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2873</v>
      </c>
    </row>
    <row r="665" spans="1:8" x14ac:dyDescent="0.2">
      <c r="A665" s="701" t="s">
        <v>2874</v>
      </c>
      <c r="B665" s="701" t="s">
        <v>1150</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2875</v>
      </c>
    </row>
    <row r="666" spans="1:8" x14ac:dyDescent="0.2">
      <c r="A666" s="701" t="s">
        <v>2876</v>
      </c>
      <c r="B666" s="701" t="s">
        <v>1151</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2877</v>
      </c>
    </row>
    <row r="667" spans="1:8" x14ac:dyDescent="0.2">
      <c r="A667" s="701" t="s">
        <v>2878</v>
      </c>
      <c r="B667" s="701" t="s">
        <v>1152</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2879</v>
      </c>
    </row>
    <row r="668" spans="1:8" x14ac:dyDescent="0.2">
      <c r="A668" s="701" t="s">
        <v>2880</v>
      </c>
      <c r="B668" s="701" t="s">
        <v>1153</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2881</v>
      </c>
    </row>
    <row r="669" spans="1:8" x14ac:dyDescent="0.2">
      <c r="A669" s="701" t="s">
        <v>2882</v>
      </c>
      <c r="B669" s="701" t="s">
        <v>1154</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2883</v>
      </c>
    </row>
    <row r="670" spans="1:8" x14ac:dyDescent="0.2">
      <c r="A670" s="701" t="s">
        <v>2884</v>
      </c>
      <c r="B670" s="701" t="s">
        <v>1155</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2885</v>
      </c>
    </row>
    <row r="671" spans="1:8" x14ac:dyDescent="0.2">
      <c r="A671" s="701" t="s">
        <v>2886</v>
      </c>
      <c r="B671" s="701" t="s">
        <v>1156</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2887</v>
      </c>
    </row>
    <row r="672" spans="1:8" x14ac:dyDescent="0.2">
      <c r="A672" s="701" t="s">
        <v>2888</v>
      </c>
      <c r="B672" s="701" t="s">
        <v>1157</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2889</v>
      </c>
    </row>
    <row r="673" spans="1:8" x14ac:dyDescent="0.2">
      <c r="A673" s="701" t="s">
        <v>2890</v>
      </c>
      <c r="B673" s="701" t="s">
        <v>1158</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2891</v>
      </c>
    </row>
    <row r="674" spans="1:8" x14ac:dyDescent="0.2">
      <c r="A674" s="701" t="s">
        <v>2892</v>
      </c>
      <c r="B674" s="701" t="s">
        <v>1159</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2893</v>
      </c>
    </row>
    <row r="675" spans="1:8" x14ac:dyDescent="0.2">
      <c r="A675" s="701" t="s">
        <v>2894</v>
      </c>
      <c r="B675" s="701" t="s">
        <v>1160</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2895</v>
      </c>
    </row>
    <row r="676" spans="1:8" x14ac:dyDescent="0.2">
      <c r="A676" s="701" t="s">
        <v>2896</v>
      </c>
      <c r="B676" s="701" t="s">
        <v>1161</v>
      </c>
      <c r="C676" s="701" t="str">
        <f>Translations!$B$1362</f>
        <v>Unwrought aluminium alloys</v>
      </c>
      <c r="D676" s="701" t="str">
        <f t="shared" si="16"/>
        <v>760120</v>
      </c>
      <c r="E676" s="701" t="str">
        <f>Translations!$B$689</f>
        <v>Unwrought aluminium</v>
      </c>
      <c r="F676" s="701" t="str">
        <f>IF(E676=" --- ","",COUNTIF($E$3:E676,E676)&amp;"_"&amp;E676)</f>
        <v>3_Unwrought aluminium</v>
      </c>
      <c r="H676" s="804" t="s">
        <v>2897</v>
      </c>
    </row>
    <row r="677" spans="1:8" x14ac:dyDescent="0.2">
      <c r="A677" s="701" t="s">
        <v>2898</v>
      </c>
      <c r="B677" s="701" t="s">
        <v>1162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2899</v>
      </c>
    </row>
    <row r="678" spans="1:8" x14ac:dyDescent="0.2">
      <c r="A678" s="701" t="s">
        <v>2900</v>
      </c>
      <c r="B678" s="701" t="s">
        <v>1163</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2901</v>
      </c>
    </row>
    <row r="679" spans="1:8" x14ac:dyDescent="0.2">
      <c r="A679" s="701" t="s">
        <v>2902</v>
      </c>
      <c r="B679" s="701" t="s">
        <v>1164</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2903</v>
      </c>
    </row>
    <row r="680" spans="1:8" x14ac:dyDescent="0.2">
      <c r="A680" s="701" t="s">
        <v>2904</v>
      </c>
      <c r="B680" s="701" t="s">
        <v>1165</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2905</v>
      </c>
    </row>
    <row r="681" spans="1:8" x14ac:dyDescent="0.2">
      <c r="A681" s="701" t="s">
        <v>2906</v>
      </c>
      <c r="B681" s="701" t="s">
        <v>1166</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2907</v>
      </c>
    </row>
    <row r="682" spans="1:8" x14ac:dyDescent="0.2">
      <c r="A682" s="701" t="s">
        <v>2908</v>
      </c>
      <c r="B682" s="701" t="s">
        <v>1167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2909</v>
      </c>
    </row>
    <row r="683" spans="1:8" x14ac:dyDescent="0.2">
      <c r="A683" s="701" t="s">
        <v>2910</v>
      </c>
      <c r="B683" s="701" t="s">
        <v>1168</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2911</v>
      </c>
    </row>
    <row r="684" spans="1:8" x14ac:dyDescent="0.2">
      <c r="A684" s="701" t="s">
        <v>2912</v>
      </c>
      <c r="B684" s="701" t="s">
        <v>1169</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2913</v>
      </c>
    </row>
    <row r="685" spans="1:8" x14ac:dyDescent="0.2">
      <c r="A685" s="701" t="s">
        <v>2914</v>
      </c>
      <c r="B685" s="701" t="s">
        <v>1170</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2915</v>
      </c>
    </row>
    <row r="686" spans="1:8" x14ac:dyDescent="0.2">
      <c r="A686" s="701" t="s">
        <v>2916</v>
      </c>
      <c r="B686" s="701" t="s">
        <v>1171</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2917</v>
      </c>
    </row>
    <row r="687" spans="1:8" x14ac:dyDescent="0.2">
      <c r="A687" s="701" t="s">
        <v>2918</v>
      </c>
      <c r="B687" s="701" t="s">
        <v>1172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2919</v>
      </c>
    </row>
    <row r="688" spans="1:8" x14ac:dyDescent="0.2">
      <c r="A688" s="701" t="s">
        <v>2920</v>
      </c>
      <c r="B688" s="701" t="s">
        <v>1173</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2921</v>
      </c>
    </row>
    <row r="689" spans="1:8" x14ac:dyDescent="0.2">
      <c r="A689" s="701" t="s">
        <v>2922</v>
      </c>
      <c r="B689" s="701" t="s">
        <v>1174</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2923</v>
      </c>
    </row>
    <row r="690" spans="1:8" x14ac:dyDescent="0.2">
      <c r="A690" s="701" t="s">
        <v>2924</v>
      </c>
      <c r="B690" s="701" t="s">
        <v>1175</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2925</v>
      </c>
    </row>
    <row r="691" spans="1:8" x14ac:dyDescent="0.2">
      <c r="A691" s="701" t="s">
        <v>2926</v>
      </c>
      <c r="B691" s="701" t="s">
        <v>1176</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2927</v>
      </c>
    </row>
    <row r="692" spans="1:8" x14ac:dyDescent="0.2">
      <c r="A692" s="701" t="s">
        <v>2928</v>
      </c>
      <c r="B692" s="701" t="s">
        <v>1177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2929</v>
      </c>
    </row>
    <row r="693" spans="1:8" x14ac:dyDescent="0.2">
      <c r="A693" s="701" t="s">
        <v>2930</v>
      </c>
      <c r="B693" s="701" t="s">
        <v>1178</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2931</v>
      </c>
    </row>
    <row r="694" spans="1:8" x14ac:dyDescent="0.2">
      <c r="A694" s="701" t="s">
        <v>2932</v>
      </c>
      <c r="B694" s="701" t="s">
        <v>1179</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2933</v>
      </c>
    </row>
    <row r="695" spans="1:8" x14ac:dyDescent="0.2">
      <c r="A695" s="701" t="s">
        <v>2934</v>
      </c>
      <c r="B695" s="701" t="s">
        <v>1180</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2935</v>
      </c>
    </row>
    <row r="696" spans="1:8" x14ac:dyDescent="0.2">
      <c r="A696" s="701" t="s">
        <v>2936</v>
      </c>
      <c r="B696" s="701" t="s">
        <v>1181</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2937</v>
      </c>
    </row>
    <row r="697" spans="1:8" x14ac:dyDescent="0.2">
      <c r="A697" s="701" t="s">
        <v>2938</v>
      </c>
      <c r="B697" s="701" t="s">
        <v>1182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2939</v>
      </c>
    </row>
    <row r="698" spans="1:8" x14ac:dyDescent="0.2">
      <c r="A698" s="701" t="s">
        <v>2940</v>
      </c>
      <c r="B698" s="701" t="s">
        <v>1183</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2941</v>
      </c>
    </row>
    <row r="699" spans="1:8" x14ac:dyDescent="0.2">
      <c r="A699" s="701" t="s">
        <v>2942</v>
      </c>
      <c r="B699" s="701" t="s">
        <v>1184</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2943</v>
      </c>
    </row>
    <row r="700" spans="1:8" x14ac:dyDescent="0.2">
      <c r="A700" s="701" t="s">
        <v>2944</v>
      </c>
      <c r="B700" s="701" t="s">
        <v>1185</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2945</v>
      </c>
    </row>
    <row r="701" spans="1:8" x14ac:dyDescent="0.2">
      <c r="A701" s="701" t="s">
        <v>2946</v>
      </c>
      <c r="B701" s="701" t="s">
        <v>1186</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2947</v>
      </c>
    </row>
    <row r="702" spans="1:8" x14ac:dyDescent="0.2">
      <c r="A702" s="701" t="s">
        <v>2948</v>
      </c>
      <c r="B702" s="701" t="s">
        <v>1187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2949</v>
      </c>
    </row>
    <row r="703" spans="1:8" x14ac:dyDescent="0.2">
      <c r="A703" s="701" t="s">
        <v>2950</v>
      </c>
      <c r="B703" s="701" t="s">
        <v>1188</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2951</v>
      </c>
    </row>
    <row r="704" spans="1:8" x14ac:dyDescent="0.2">
      <c r="A704" s="701" t="s">
        <v>2952</v>
      </c>
      <c r="B704" s="701" t="s">
        <v>1189</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2953</v>
      </c>
    </row>
    <row r="705" spans="1:8" x14ac:dyDescent="0.2">
      <c r="A705" s="701" t="s">
        <v>2954</v>
      </c>
      <c r="B705" s="701" t="s">
        <v>1190</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2955</v>
      </c>
    </row>
    <row r="706" spans="1:8" x14ac:dyDescent="0.2">
      <c r="A706" s="701" t="s">
        <v>2956</v>
      </c>
      <c r="B706" s="701" t="s">
        <v>1191</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2957</v>
      </c>
    </row>
    <row r="707" spans="1:8" x14ac:dyDescent="0.2">
      <c r="A707" s="701" t="s">
        <v>2958</v>
      </c>
      <c r="B707" s="701" t="s">
        <v>1192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2959</v>
      </c>
    </row>
    <row r="708" spans="1:8" x14ac:dyDescent="0.2">
      <c r="A708" s="701" t="s">
        <v>2960</v>
      </c>
      <c r="B708" s="701" t="s">
        <v>1193</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2961</v>
      </c>
    </row>
    <row r="709" spans="1:8" x14ac:dyDescent="0.2">
      <c r="A709" s="701" t="s">
        <v>2962</v>
      </c>
      <c r="B709" s="701" t="s">
        <v>1194</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2963</v>
      </c>
    </row>
    <row r="710" spans="1:8" x14ac:dyDescent="0.2">
      <c r="A710" s="701" t="s">
        <v>2964</v>
      </c>
      <c r="B710" s="701" t="s">
        <v>1195</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2965</v>
      </c>
    </row>
    <row r="711" spans="1:8" x14ac:dyDescent="0.2">
      <c r="A711" s="701" t="s">
        <v>2966</v>
      </c>
      <c r="B711" s="701" t="s">
        <v>1196</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2967</v>
      </c>
    </row>
    <row r="712" spans="1:8" x14ac:dyDescent="0.2">
      <c r="A712" s="701" t="s">
        <v>2968</v>
      </c>
      <c r="B712" s="701" t="s">
        <v>1197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2969</v>
      </c>
    </row>
    <row r="713" spans="1:8" x14ac:dyDescent="0.2">
      <c r="A713" s="701" t="s">
        <v>2970</v>
      </c>
      <c r="B713" s="701" t="s">
        <v>1198</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2971</v>
      </c>
    </row>
    <row r="714" spans="1:8" x14ac:dyDescent="0.2">
      <c r="A714" s="701" t="s">
        <v>2972</v>
      </c>
      <c r="B714" s="701" t="s">
        <v>1199</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2973</v>
      </c>
    </row>
    <row r="715" spans="1:8" x14ac:dyDescent="0.2">
      <c r="A715" s="701" t="s">
        <v>2974</v>
      </c>
      <c r="B715" s="701" t="s">
        <v>1200</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2975</v>
      </c>
    </row>
    <row r="716" spans="1:8" x14ac:dyDescent="0.2">
      <c r="A716" s="701" t="s">
        <v>2976</v>
      </c>
      <c r="B716" s="701" t="s">
        <v>1201</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2977</v>
      </c>
    </row>
    <row r="717" spans="1:8" x14ac:dyDescent="0.2">
      <c r="A717" s="701" t="s">
        <v>2978</v>
      </c>
      <c r="B717" s="701" t="s">
        <v>1202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2979</v>
      </c>
    </row>
    <row r="718" spans="1:8" x14ac:dyDescent="0.2">
      <c r="A718" s="701" t="s">
        <v>2980</v>
      </c>
      <c r="B718" s="701" t="s">
        <v>1203</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2981</v>
      </c>
    </row>
    <row r="719" spans="1:8" x14ac:dyDescent="0.2">
      <c r="A719" s="701" t="s">
        <v>2982</v>
      </c>
      <c r="B719" s="701" t="s">
        <v>1204</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2983</v>
      </c>
    </row>
    <row r="720" spans="1:8" x14ac:dyDescent="0.2">
      <c r="A720" s="701" t="s">
        <v>2984</v>
      </c>
      <c r="B720" s="701" t="s">
        <v>1205</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2985</v>
      </c>
    </row>
    <row r="721" spans="1:8" x14ac:dyDescent="0.2">
      <c r="A721" s="701" t="s">
        <v>2986</v>
      </c>
      <c r="B721" s="701" t="s">
        <v>1206</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2987</v>
      </c>
    </row>
    <row r="722" spans="1:8" x14ac:dyDescent="0.2">
      <c r="A722" s="701" t="s">
        <v>2988</v>
      </c>
      <c r="B722" s="701" t="s">
        <v>1207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2989</v>
      </c>
    </row>
    <row r="723" spans="1:8" x14ac:dyDescent="0.2">
      <c r="A723" s="701" t="s">
        <v>2990</v>
      </c>
      <c r="B723" s="701" t="s">
        <v>1208</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2991</v>
      </c>
    </row>
    <row r="724" spans="1:8" x14ac:dyDescent="0.2">
      <c r="A724" s="701" t="s">
        <v>2992</v>
      </c>
      <c r="B724" s="701" t="s">
        <v>1209</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2993</v>
      </c>
    </row>
    <row r="725" spans="1:8" x14ac:dyDescent="0.2">
      <c r="A725" s="701" t="s">
        <v>2994</v>
      </c>
      <c r="B725" s="701" t="s">
        <v>1210</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2995</v>
      </c>
    </row>
    <row r="726" spans="1:8" x14ac:dyDescent="0.2">
      <c r="A726" s="701" t="s">
        <v>2996</v>
      </c>
      <c r="B726" s="701" t="s">
        <v>1211</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2997</v>
      </c>
    </row>
    <row r="727" spans="1:8" x14ac:dyDescent="0.2">
      <c r="A727" s="701" t="s">
        <v>2998</v>
      </c>
      <c r="B727" s="701" t="s">
        <v>1212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2999</v>
      </c>
    </row>
    <row r="728" spans="1:8" x14ac:dyDescent="0.2">
      <c r="A728" s="701" t="s">
        <v>3000</v>
      </c>
      <c r="B728" s="701" t="s">
        <v>1213</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3001</v>
      </c>
    </row>
    <row r="729" spans="1:8" x14ac:dyDescent="0.2">
      <c r="A729" s="701" t="s">
        <v>3002</v>
      </c>
      <c r="B729" s="701" t="s">
        <v>1214</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3003</v>
      </c>
    </row>
    <row r="730" spans="1:8" x14ac:dyDescent="0.2">
      <c r="A730" s="701" t="s">
        <v>3004</v>
      </c>
      <c r="B730" s="701" t="s">
        <v>1215</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3005</v>
      </c>
    </row>
    <row r="731" spans="1:8" x14ac:dyDescent="0.2">
      <c r="A731" s="701" t="s">
        <v>3006</v>
      </c>
      <c r="B731" s="701" t="s">
        <v>1216</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3007</v>
      </c>
    </row>
    <row r="732" spans="1:8" x14ac:dyDescent="0.2">
      <c r="A732" s="701" t="s">
        <v>3008</v>
      </c>
      <c r="B732" s="701" t="s">
        <v>1217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3009</v>
      </c>
    </row>
    <row r="733" spans="1:8" x14ac:dyDescent="0.2">
      <c r="A733" s="701" t="s">
        <v>3010</v>
      </c>
      <c r="B733" s="701" t="s">
        <v>1218</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3011</v>
      </c>
    </row>
    <row r="734" spans="1:8" x14ac:dyDescent="0.2">
      <c r="A734" s="701" t="s">
        <v>3012</v>
      </c>
      <c r="B734" s="701" t="s">
        <v>1219</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3013</v>
      </c>
    </row>
    <row r="735" spans="1:8" x14ac:dyDescent="0.2">
      <c r="A735" s="701" t="s">
        <v>3014</v>
      </c>
      <c r="B735" s="701" t="s">
        <v>1220</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3015</v>
      </c>
    </row>
    <row r="736" spans="1:8" x14ac:dyDescent="0.2">
      <c r="A736" s="701" t="s">
        <v>3016</v>
      </c>
      <c r="B736" s="701" t="s">
        <v>1221</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3017</v>
      </c>
    </row>
    <row r="737" spans="1:8" x14ac:dyDescent="0.2">
      <c r="A737" s="701" t="s">
        <v>3018</v>
      </c>
      <c r="B737" s="701" t="s">
        <v>1222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3019</v>
      </c>
    </row>
    <row r="738" spans="1:8" x14ac:dyDescent="0.2">
      <c r="A738" s="701" t="s">
        <v>3020</v>
      </c>
      <c r="B738" s="701" t="s">
        <v>1223</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3021</v>
      </c>
    </row>
    <row r="739" spans="1:8" x14ac:dyDescent="0.2">
      <c r="A739" s="701" t="s">
        <v>3022</v>
      </c>
      <c r="B739" s="701" t="s">
        <v>1224</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3023</v>
      </c>
    </row>
    <row r="740" spans="1:8" x14ac:dyDescent="0.2">
      <c r="A740" s="701" t="s">
        <v>3024</v>
      </c>
      <c r="B740" s="701" t="s">
        <v>1225</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3025</v>
      </c>
    </row>
    <row r="741" spans="1:8" x14ac:dyDescent="0.2">
      <c r="A741" s="701" t="s">
        <v>3026</v>
      </c>
      <c r="B741" s="701" t="s">
        <v>1226</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3027</v>
      </c>
    </row>
    <row r="742" spans="1:8" x14ac:dyDescent="0.2">
      <c r="A742" s="701" t="s">
        <v>3028</v>
      </c>
      <c r="B742" s="701" t="s">
        <v>1227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3029</v>
      </c>
    </row>
    <row r="743" spans="1:8" x14ac:dyDescent="0.2">
      <c r="A743" s="701" t="s">
        <v>3030</v>
      </c>
      <c r="B743" s="701" t="s">
        <v>1228</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3031</v>
      </c>
    </row>
    <row r="744" spans="1:8" x14ac:dyDescent="0.2">
      <c r="A744" s="701" t="s">
        <v>3032</v>
      </c>
      <c r="B744" s="701" t="s">
        <v>1229</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3033</v>
      </c>
    </row>
    <row r="745" spans="1:8" x14ac:dyDescent="0.2">
      <c r="A745" s="701" t="s">
        <v>3034</v>
      </c>
      <c r="B745" s="701" t="s">
        <v>1230</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3035</v>
      </c>
    </row>
    <row r="746" spans="1:8" x14ac:dyDescent="0.2">
      <c r="A746" s="701" t="s">
        <v>3036</v>
      </c>
      <c r="B746" s="701" t="s">
        <v>1231</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3037</v>
      </c>
    </row>
    <row r="747" spans="1:8" x14ac:dyDescent="0.2">
      <c r="A747" s="701" t="s">
        <v>3038</v>
      </c>
      <c r="B747" s="701" t="s">
        <v>1232</v>
      </c>
      <c r="C747" s="701" t="str">
        <f>Translations!$B$1433</f>
        <v>Articles of aluminium, n.e.s.</v>
      </c>
      <c r="D747" s="701" t="str">
        <f t="shared" si="17"/>
        <v>7616</v>
      </c>
      <c r="E747" s="701" t="str">
        <f>Translations!$B$688</f>
        <v>Aluminium products</v>
      </c>
      <c r="F747" s="701" t="str">
        <f>IF(E747=" --- ","",COUNTIF($E$3:E747,E747)&amp;"_"&amp;E747)</f>
        <v>69_Aluminium products</v>
      </c>
      <c r="H747" s="804" t="s">
        <v>3039</v>
      </c>
    </row>
    <row r="748" spans="1:8" x14ac:dyDescent="0.2">
      <c r="A748" s="701" t="s">
        <v>3040</v>
      </c>
      <c r="B748" s="701" t="s">
        <v>1233</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3041</v>
      </c>
    </row>
    <row r="749" spans="1:8" x14ac:dyDescent="0.2">
      <c r="A749" s="701" t="s">
        <v>3042</v>
      </c>
      <c r="B749" s="701" t="s">
        <v>1234</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3043</v>
      </c>
    </row>
    <row r="750" spans="1:8" x14ac:dyDescent="0.2">
      <c r="A750" s="701" t="s">
        <v>3044</v>
      </c>
      <c r="B750" s="701" t="s">
        <v>1235</v>
      </c>
      <c r="C750" s="701" t="str">
        <f>Translations!$B$1433</f>
        <v>Articles of aluminium, n.e.s.</v>
      </c>
      <c r="D750" s="701" t="str">
        <f t="shared" si="17"/>
        <v>761699</v>
      </c>
      <c r="E750" s="701" t="str">
        <f>Translations!$B$688</f>
        <v>Aluminium products</v>
      </c>
      <c r="F750" s="701" t="str">
        <f>IF(E750=" --- ","",COUNTIF($E$3:E750,E750)&amp;"_"&amp;E750)</f>
        <v>72_Aluminium products</v>
      </c>
      <c r="H750" s="804" t="s">
        <v>3039</v>
      </c>
    </row>
    <row r="751" spans="1:8" x14ac:dyDescent="0.2">
      <c r="A751" s="701" t="s">
        <v>3045</v>
      </c>
      <c r="B751" s="701" t="s">
        <v>1236</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3046</v>
      </c>
    </row>
    <row r="752" spans="1:8" x14ac:dyDescent="0.2">
      <c r="A752" s="701" t="s">
        <v>3047</v>
      </c>
      <c r="B752" s="701" t="s">
        <v>1237</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3048</v>
      </c>
    </row>
  </sheetData>
  <sheetProtection sheet="1" objects="1" scenarios="1" formatCells="0" formatColumns="0" formatRows="0"/>
  <autoFilter ref="A3:G752"/>
  <phoneticPr fontId="68" type="noConversion"/>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6"/>
  <sheetViews>
    <sheetView workbookViewId="0">
      <pane xSplit="1" ySplit="4" topLeftCell="B5" activePane="bottomRight" state="frozen"/>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693" customWidth="1"/>
    <col min="2" max="13" width="20.7109375" style="694" customWidth="1"/>
    <col min="14" max="16384" width="11.42578125" style="694"/>
  </cols>
  <sheetData>
    <row r="1" spans="1:13" ht="12.75" x14ac:dyDescent="0.2">
      <c r="D1" s="928" t="s">
        <v>3049</v>
      </c>
    </row>
    <row r="2" spans="1:13" ht="12.75" x14ac:dyDescent="0.2">
      <c r="D2" s="928" t="s">
        <v>3050</v>
      </c>
    </row>
    <row r="3" spans="1:13" ht="12.75" thickBot="1" x14ac:dyDescent="0.25">
      <c r="D3" s="904"/>
    </row>
    <row r="4" spans="1:13" s="692" customFormat="1" ht="24.75" thickBot="1" x14ac:dyDescent="0.3">
      <c r="A4" s="696">
        <v>3</v>
      </c>
      <c r="B4" s="753" t="s">
        <v>3051</v>
      </c>
      <c r="C4" s="692" t="s">
        <v>3052</v>
      </c>
      <c r="D4" s="692" t="s">
        <v>3053</v>
      </c>
      <c r="E4" s="692" t="s">
        <v>3054</v>
      </c>
      <c r="F4" s="692" t="s">
        <v>3055</v>
      </c>
      <c r="G4" s="692" t="s">
        <v>3056</v>
      </c>
      <c r="H4" s="692" t="s">
        <v>3057</v>
      </c>
      <c r="I4" s="692" t="s">
        <v>3058</v>
      </c>
      <c r="J4" s="692" t="s">
        <v>3059</v>
      </c>
      <c r="K4" s="692" t="s">
        <v>3060</v>
      </c>
      <c r="L4" s="692" t="s">
        <v>3061</v>
      </c>
      <c r="M4" s="692" t="s">
        <v>3062</v>
      </c>
    </row>
    <row r="5" spans="1:13" s="692" customFormat="1" ht="12.75" x14ac:dyDescent="0.2">
      <c r="A5" s="693">
        <v>1</v>
      </c>
      <c r="B5" s="754" t="str">
        <f t="shared" ref="B5:B9" si="0">IFERROR(INDEX(C5:M5,$A$4-2),$C5)</f>
        <v>Version history</v>
      </c>
      <c r="C5" s="754" t="s">
        <v>3063</v>
      </c>
    </row>
    <row r="6" spans="1:13" s="692" customFormat="1" ht="18" x14ac:dyDescent="0.2">
      <c r="A6" s="693">
        <v>2</v>
      </c>
      <c r="B6" s="106" t="str">
        <f t="shared" si="0"/>
        <v>Sheet "Version history"</v>
      </c>
      <c r="C6" s="106" t="s">
        <v>3064</v>
      </c>
    </row>
    <row r="7" spans="1:13" s="692" customFormat="1" ht="12.75" x14ac:dyDescent="0.2">
      <c r="A7" s="693">
        <v>3</v>
      </c>
      <c r="B7" s="144" t="str">
        <f t="shared" si="0"/>
        <v>Version</v>
      </c>
      <c r="C7" s="144" t="s">
        <v>3065</v>
      </c>
    </row>
    <row r="8" spans="1:13" s="692" customFormat="1" ht="12.75" x14ac:dyDescent="0.2">
      <c r="A8" s="693">
        <v>4</v>
      </c>
      <c r="B8" s="144" t="str">
        <f t="shared" si="0"/>
        <v>Date</v>
      </c>
      <c r="C8" s="144" t="s">
        <v>3066</v>
      </c>
    </row>
    <row r="9" spans="1:13" s="692" customFormat="1" ht="13.5" thickBot="1" x14ac:dyDescent="0.25">
      <c r="A9" s="693">
        <v>5</v>
      </c>
      <c r="B9" s="1061" t="str">
        <f t="shared" si="0"/>
        <v>Description</v>
      </c>
      <c r="C9" s="1061" t="s">
        <v>3067</v>
      </c>
    </row>
    <row r="10" spans="1:13" ht="13.5" thickBot="1" x14ac:dyDescent="0.25">
      <c r="A10" s="693">
        <v>6</v>
      </c>
      <c r="B10" s="754" t="str">
        <f>IFERROR(INDEX(C10:M10,$A$4-2),$C10)</f>
        <v>Table of contents</v>
      </c>
      <c r="C10" s="754" t="s">
        <v>3068</v>
      </c>
      <c r="D10" s="929"/>
      <c r="E10" s="929"/>
      <c r="F10" s="929"/>
      <c r="G10" s="929"/>
      <c r="H10" s="929"/>
      <c r="I10" s="929"/>
      <c r="J10" s="929"/>
      <c r="K10" s="929"/>
      <c r="L10" s="929"/>
      <c r="M10" s="929"/>
    </row>
    <row r="11" spans="1:13" ht="13.5" thickBot="1" x14ac:dyDescent="0.25">
      <c r="A11" s="693">
        <v>7</v>
      </c>
      <c r="B11" s="703" t="str">
        <f t="shared" ref="B11:B74" si="1">IFERROR(INDEX(C11:M11,$A$4-2),$C11)</f>
        <v>Navigation Area:</v>
      </c>
      <c r="C11" s="703" t="s">
        <v>3069</v>
      </c>
      <c r="D11" s="930"/>
      <c r="E11" s="930"/>
      <c r="F11" s="930"/>
      <c r="G11" s="930"/>
      <c r="H11" s="930"/>
      <c r="I11" s="930"/>
      <c r="J11" s="930"/>
      <c r="K11" s="930"/>
      <c r="L11" s="930"/>
      <c r="M11" s="930"/>
    </row>
    <row r="12" spans="1:13" ht="18" x14ac:dyDescent="0.2">
      <c r="A12" s="693">
        <v>8</v>
      </c>
      <c r="B12" s="316" t="str">
        <f t="shared" si="1"/>
        <v>Sheet "Table of contents"</v>
      </c>
      <c r="C12" s="316" t="s">
        <v>3070</v>
      </c>
      <c r="D12" s="931"/>
      <c r="E12" s="931"/>
      <c r="F12" s="931"/>
      <c r="G12" s="931"/>
      <c r="H12" s="931"/>
      <c r="I12" s="931"/>
      <c r="J12" s="931"/>
      <c r="K12" s="931"/>
      <c r="L12" s="931"/>
      <c r="M12" s="931"/>
    </row>
    <row r="13" spans="1:13" ht="12.75" x14ac:dyDescent="0.2">
      <c r="A13" s="693">
        <v>9</v>
      </c>
      <c r="B13" s="873" t="str">
        <f t="shared" si="1"/>
        <v>The following two sheets summarise the results at process and product level, respectively:</v>
      </c>
      <c r="C13" s="873" t="s">
        <v>3071</v>
      </c>
      <c r="D13" s="932"/>
      <c r="E13" s="932"/>
      <c r="F13" s="932"/>
      <c r="G13" s="932"/>
      <c r="H13" s="932"/>
      <c r="I13" s="932"/>
      <c r="J13" s="932"/>
      <c r="K13" s="932"/>
      <c r="L13" s="932"/>
      <c r="M13" s="932"/>
    </row>
    <row r="14" spans="1:13" ht="13.5" thickBot="1" x14ac:dyDescent="0.25">
      <c r="A14" s="693">
        <v>10</v>
      </c>
      <c r="B14" s="873" t="str">
        <f t="shared" si="1"/>
        <v>The following sheet summarises the main information to be communicated to the reporting declarant:</v>
      </c>
      <c r="C14" s="873" t="s">
        <v>3072</v>
      </c>
      <c r="D14" s="932"/>
      <c r="E14" s="932"/>
      <c r="F14" s="932"/>
      <c r="G14" s="932"/>
      <c r="H14" s="932"/>
      <c r="I14" s="932"/>
      <c r="J14" s="932"/>
      <c r="K14" s="932"/>
      <c r="L14" s="932"/>
      <c r="M14" s="932"/>
    </row>
    <row r="15" spans="1:13" ht="12.75" x14ac:dyDescent="0.2">
      <c r="A15" s="693">
        <v>11</v>
      </c>
      <c r="B15" s="704" t="str">
        <f>IFERROR(INDEX(C15:M15,$A$4-2),$C15)</f>
        <v>Language version:</v>
      </c>
      <c r="C15" s="704" t="s">
        <v>3073</v>
      </c>
      <c r="D15" s="933"/>
      <c r="E15" s="933"/>
      <c r="F15" s="933"/>
      <c r="G15" s="933"/>
      <c r="H15" s="933"/>
      <c r="I15" s="933"/>
      <c r="J15" s="933"/>
      <c r="K15" s="933"/>
      <c r="L15" s="933"/>
      <c r="M15" s="933"/>
    </row>
    <row r="16" spans="1:13" ht="13.5" thickBot="1" x14ac:dyDescent="0.25">
      <c r="A16" s="693">
        <v>12</v>
      </c>
      <c r="B16" s="705" t="str">
        <f t="shared" si="1"/>
        <v>Reference filename:</v>
      </c>
      <c r="C16" s="705" t="s">
        <v>3074</v>
      </c>
      <c r="D16" s="934"/>
      <c r="E16" s="934"/>
      <c r="F16" s="934"/>
      <c r="G16" s="934"/>
      <c r="H16" s="934"/>
      <c r="I16" s="934"/>
      <c r="J16" s="934"/>
      <c r="K16" s="934"/>
      <c r="L16" s="934"/>
      <c r="M16" s="934"/>
    </row>
    <row r="17" spans="1:13" ht="13.5" thickBot="1" x14ac:dyDescent="0.25">
      <c r="A17" s="693">
        <v>13</v>
      </c>
      <c r="B17" s="706" t="str">
        <f t="shared" si="1"/>
        <v>Information about this file:</v>
      </c>
      <c r="C17" s="706" t="s">
        <v>3075</v>
      </c>
      <c r="D17" s="935"/>
      <c r="E17" s="935"/>
      <c r="F17" s="935"/>
      <c r="G17" s="935"/>
      <c r="H17" s="935"/>
      <c r="I17" s="935"/>
      <c r="J17" s="935"/>
      <c r="K17" s="935"/>
      <c r="L17" s="935"/>
      <c r="M17" s="935"/>
    </row>
    <row r="18" spans="1:13" ht="12.75" x14ac:dyDescent="0.2">
      <c r="A18" s="693">
        <v>14</v>
      </c>
      <c r="B18" s="704" t="str">
        <f t="shared" si="1"/>
        <v>Installation name:</v>
      </c>
      <c r="C18" s="704" t="s">
        <v>3076</v>
      </c>
      <c r="D18" s="933"/>
      <c r="E18" s="933"/>
      <c r="F18" s="933"/>
      <c r="G18" s="933"/>
      <c r="H18" s="933"/>
      <c r="I18" s="933"/>
      <c r="J18" s="933"/>
      <c r="K18" s="933"/>
      <c r="L18" s="933"/>
      <c r="M18" s="933"/>
    </row>
    <row r="19" spans="1:13" ht="13.5" thickBot="1" x14ac:dyDescent="0.25">
      <c r="A19" s="693">
        <v>15</v>
      </c>
      <c r="B19" s="707" t="str">
        <f t="shared" si="1"/>
        <v>Reporting period:</v>
      </c>
      <c r="C19" s="707" t="s">
        <v>3077</v>
      </c>
      <c r="D19" s="936"/>
      <c r="E19" s="936"/>
      <c r="F19" s="936"/>
      <c r="G19" s="936"/>
      <c r="H19" s="936"/>
      <c r="I19" s="936"/>
      <c r="J19" s="936"/>
      <c r="K19" s="936"/>
      <c r="L19" s="936"/>
      <c r="M19" s="936"/>
    </row>
    <row r="20" spans="1:13" ht="13.5" thickBot="1" x14ac:dyDescent="0.25">
      <c r="A20" s="693">
        <v>16</v>
      </c>
      <c r="B20" s="708" t="str">
        <f t="shared" si="1"/>
        <v>from:</v>
      </c>
      <c r="C20" s="708" t="s">
        <v>3078</v>
      </c>
      <c r="D20" s="937"/>
      <c r="E20" s="937"/>
      <c r="F20" s="937"/>
      <c r="G20" s="937"/>
      <c r="H20" s="937"/>
      <c r="I20" s="937"/>
      <c r="J20" s="937"/>
      <c r="K20" s="937"/>
      <c r="L20" s="937"/>
      <c r="M20" s="937"/>
    </row>
    <row r="21" spans="1:13" ht="13.5" thickBot="1" x14ac:dyDescent="0.25">
      <c r="A21" s="693">
        <v>17</v>
      </c>
      <c r="B21" s="709" t="str">
        <f t="shared" si="1"/>
        <v>to:</v>
      </c>
      <c r="C21" s="709" t="s">
        <v>3079</v>
      </c>
      <c r="D21" s="938"/>
      <c r="E21" s="938"/>
      <c r="F21" s="938"/>
      <c r="G21" s="938"/>
      <c r="H21" s="938"/>
      <c r="I21" s="938"/>
      <c r="J21" s="938"/>
      <c r="K21" s="938"/>
      <c r="L21" s="938"/>
      <c r="M21" s="938"/>
    </row>
    <row r="22" spans="1:13" ht="12.75" x14ac:dyDescent="0.2">
      <c r="A22" s="693">
        <v>18</v>
      </c>
      <c r="B22" s="754" t="str">
        <f t="shared" si="1"/>
        <v>Guidelines &amp; Conditions</v>
      </c>
      <c r="C22" s="754" t="s">
        <v>3080</v>
      </c>
      <c r="D22" s="929"/>
      <c r="E22" s="929"/>
      <c r="F22" s="929"/>
      <c r="G22" s="929"/>
      <c r="H22" s="929"/>
      <c r="I22" s="929"/>
      <c r="J22" s="929"/>
      <c r="K22" s="929"/>
      <c r="L22" s="929"/>
      <c r="M22" s="929"/>
    </row>
    <row r="23" spans="1:13" ht="18" x14ac:dyDescent="0.2">
      <c r="A23" s="693">
        <v>19</v>
      </c>
      <c r="B23" s="316" t="str">
        <f t="shared" si="1"/>
        <v>Sheet "Guidelines &amp; conditions"</v>
      </c>
      <c r="C23" s="316" t="s">
        <v>3081</v>
      </c>
      <c r="D23" s="931"/>
      <c r="E23" s="931"/>
      <c r="F23" s="931"/>
      <c r="G23" s="931"/>
      <c r="H23" s="931"/>
      <c r="I23" s="931"/>
      <c r="J23" s="931"/>
      <c r="K23" s="931"/>
      <c r="L23" s="931"/>
      <c r="M23" s="931"/>
    </row>
    <row r="24" spans="1:13" ht="15.75" x14ac:dyDescent="0.2">
      <c r="A24" s="693">
        <v>20</v>
      </c>
      <c r="B24" s="315" t="str">
        <f t="shared" si="1"/>
        <v>General Information on this Template</v>
      </c>
      <c r="C24" s="315" t="s">
        <v>3082</v>
      </c>
      <c r="D24" s="939"/>
      <c r="E24" s="939"/>
      <c r="F24" s="939"/>
      <c r="G24" s="939"/>
      <c r="H24" s="939"/>
      <c r="I24" s="939"/>
      <c r="J24" s="939"/>
      <c r="K24" s="939"/>
      <c r="L24" s="939"/>
      <c r="M24" s="939"/>
    </row>
    <row r="25" spans="1:13" ht="12.75" x14ac:dyDescent="0.2">
      <c r="A25" s="693">
        <v>21</v>
      </c>
      <c r="B25" s="162" t="str">
        <f t="shared" si="1"/>
        <v>General information</v>
      </c>
      <c r="C25" s="162" t="s">
        <v>3083</v>
      </c>
      <c r="D25" s="940"/>
      <c r="E25" s="940"/>
      <c r="F25" s="940"/>
      <c r="G25" s="940"/>
      <c r="H25" s="940"/>
      <c r="I25" s="940"/>
      <c r="J25" s="940"/>
      <c r="K25" s="940"/>
      <c r="L25" s="940"/>
      <c r="M25" s="940"/>
    </row>
    <row r="26" spans="1:13" ht="12.75" x14ac:dyDescent="0.2">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3084</v>
      </c>
      <c r="D26" s="941"/>
      <c r="E26" s="941"/>
      <c r="F26" s="941"/>
      <c r="G26" s="941"/>
      <c r="H26" s="941"/>
      <c r="I26" s="941"/>
      <c r="J26" s="941"/>
      <c r="K26" s="941"/>
      <c r="L26" s="941"/>
      <c r="M26" s="941"/>
    </row>
    <row r="27" spans="1:13" ht="12.75" x14ac:dyDescent="0.2">
      <c r="A27" s="693">
        <v>23</v>
      </c>
      <c r="B27" s="710" t="str">
        <f t="shared" si="1"/>
        <v>https://eur-lex.europa.eu/eli/reg/2023/956/oj</v>
      </c>
      <c r="C27" s="710" t="s">
        <v>3085</v>
      </c>
      <c r="D27" s="942"/>
      <c r="E27" s="942"/>
      <c r="F27" s="942"/>
      <c r="G27" s="942"/>
      <c r="H27" s="942"/>
      <c r="I27" s="942"/>
      <c r="J27" s="942"/>
      <c r="K27" s="942"/>
      <c r="L27" s="942"/>
      <c r="M27" s="942"/>
    </row>
    <row r="28" spans="1:13" ht="12.75" x14ac:dyDescent="0.2">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3086</v>
      </c>
      <c r="D28" s="941"/>
      <c r="E28" s="941"/>
      <c r="F28" s="941"/>
      <c r="G28" s="941"/>
      <c r="H28" s="941"/>
      <c r="I28" s="941"/>
      <c r="J28" s="941"/>
      <c r="K28" s="941"/>
      <c r="L28" s="941"/>
      <c r="M28" s="941"/>
    </row>
    <row r="29" spans="1:13" ht="12.75" x14ac:dyDescent="0.2">
      <c r="A29" s="693">
        <v>25</v>
      </c>
      <c r="B29" s="711" t="str">
        <f t="shared" si="1"/>
        <v>https://taxation-customs.ec.europa.eu/system/files/2023-08/C_2023_5512_1_EN_ACT_part1_v6.pdf</v>
      </c>
      <c r="C29" s="710" t="s">
        <v>3087</v>
      </c>
      <c r="D29" s="943"/>
      <c r="E29" s="943"/>
      <c r="F29" s="943"/>
      <c r="G29" s="943"/>
      <c r="H29" s="943"/>
      <c r="I29" s="943"/>
      <c r="J29" s="943"/>
      <c r="K29" s="943"/>
      <c r="L29" s="943"/>
      <c r="M29" s="943"/>
    </row>
    <row r="30" spans="1:13" ht="12.75" x14ac:dyDescent="0.2">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3088</v>
      </c>
      <c r="D30" s="941"/>
      <c r="E30" s="941"/>
      <c r="F30" s="941"/>
      <c r="G30" s="941"/>
      <c r="H30" s="941"/>
      <c r="I30" s="941"/>
      <c r="J30" s="941"/>
      <c r="K30" s="941"/>
      <c r="L30" s="941"/>
      <c r="M30" s="941"/>
    </row>
    <row r="31" spans="1:13" ht="12.75" x14ac:dyDescent="0.2">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3089</v>
      </c>
      <c r="D31" s="941"/>
      <c r="E31" s="941"/>
      <c r="F31" s="941"/>
      <c r="G31" s="941"/>
      <c r="H31" s="941"/>
      <c r="I31" s="941"/>
      <c r="J31" s="941"/>
      <c r="K31" s="941"/>
      <c r="L31" s="941"/>
      <c r="M31" s="941"/>
    </row>
    <row r="32" spans="1:13" ht="12.75" x14ac:dyDescent="0.2">
      <c r="A32" s="693">
        <v>28</v>
      </c>
      <c r="B32" s="876" t="str">
        <f t="shared" si="1"/>
        <v xml:space="preserve">The views expressed in this file represent the views of the authors and not necessarily those of the European Commission. </v>
      </c>
      <c r="C32" s="876" t="s">
        <v>3090</v>
      </c>
      <c r="D32" s="941"/>
      <c r="E32" s="941"/>
      <c r="F32" s="941"/>
      <c r="G32" s="941"/>
      <c r="H32" s="941"/>
      <c r="I32" s="941"/>
      <c r="J32" s="941"/>
      <c r="K32" s="941"/>
      <c r="L32" s="941"/>
      <c r="M32" s="941"/>
    </row>
    <row r="33" spans="1:13" ht="12.75" x14ac:dyDescent="0.2">
      <c r="A33" s="693">
        <v>29</v>
      </c>
      <c r="B33" s="742" t="str">
        <f t="shared" si="1"/>
        <v>This is the 2nd published version of the CBAM template, version of 23 October 2023.</v>
      </c>
      <c r="C33" s="742" t="s">
        <v>3091</v>
      </c>
      <c r="D33" s="943"/>
      <c r="E33" s="943"/>
      <c r="F33" s="943"/>
      <c r="G33" s="943"/>
      <c r="H33" s="943"/>
      <c r="I33" s="943"/>
      <c r="J33" s="943"/>
      <c r="K33" s="943"/>
      <c r="L33" s="943"/>
      <c r="M33" s="943"/>
    </row>
    <row r="34" spans="1:13" ht="15.75" x14ac:dyDescent="0.2">
      <c r="A34" s="693">
        <v>30</v>
      </c>
      <c r="B34" s="446" t="str">
        <f t="shared" si="1"/>
        <v>How to use this file</v>
      </c>
      <c r="C34" s="446" t="s">
        <v>3092</v>
      </c>
      <c r="D34" s="944"/>
      <c r="E34" s="944"/>
      <c r="F34" s="944"/>
      <c r="G34" s="944"/>
      <c r="H34" s="944"/>
      <c r="I34" s="944"/>
      <c r="J34" s="944"/>
      <c r="K34" s="944"/>
      <c r="L34" s="944"/>
      <c r="M34" s="944"/>
    </row>
    <row r="35" spans="1:13" ht="12.75" x14ac:dyDescent="0.2">
      <c r="A35" s="693">
        <v>31</v>
      </c>
      <c r="B35" s="876" t="str">
        <f t="shared" si="1"/>
        <v>Automatic calculation (to be found in the menu Formula/Calculation options) must be turned on.</v>
      </c>
      <c r="C35" s="876" t="s">
        <v>3093</v>
      </c>
      <c r="D35" s="941"/>
      <c r="E35" s="941"/>
      <c r="F35" s="941"/>
      <c r="G35" s="941"/>
      <c r="H35" s="941"/>
      <c r="I35" s="941"/>
      <c r="J35" s="941"/>
      <c r="K35" s="941"/>
      <c r="L35" s="941"/>
      <c r="M35" s="941"/>
    </row>
    <row r="36" spans="1:13" ht="12.75" x14ac:dyDescent="0.2">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3094</v>
      </c>
      <c r="D36" s="941"/>
      <c r="E36" s="941"/>
      <c r="F36" s="941"/>
      <c r="G36" s="941"/>
      <c r="H36" s="941"/>
      <c r="I36" s="941"/>
      <c r="J36" s="941"/>
      <c r="K36" s="941"/>
      <c r="L36" s="941"/>
      <c r="M36" s="941"/>
    </row>
    <row r="37" spans="1:13" ht="12.75" x14ac:dyDescent="0.2">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3095</v>
      </c>
      <c r="D37" s="941"/>
      <c r="E37" s="941"/>
      <c r="F37" s="941"/>
      <c r="G37" s="941"/>
      <c r="H37" s="941"/>
      <c r="I37" s="941"/>
      <c r="J37" s="941"/>
      <c r="K37" s="941"/>
      <c r="L37" s="941"/>
      <c r="M37" s="941"/>
    </row>
    <row r="38" spans="1:13" ht="12.75" x14ac:dyDescent="0.2">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3096</v>
      </c>
      <c r="D38" s="941"/>
      <c r="E38" s="941"/>
      <c r="F38" s="941"/>
      <c r="G38" s="941"/>
      <c r="H38" s="941"/>
      <c r="I38" s="941"/>
      <c r="J38" s="941"/>
      <c r="K38" s="941"/>
      <c r="L38" s="941"/>
      <c r="M38" s="941"/>
    </row>
    <row r="39" spans="1:13" ht="12.75" x14ac:dyDescent="0.2">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3097</v>
      </c>
      <c r="D39" s="941"/>
      <c r="E39" s="941"/>
      <c r="F39" s="941"/>
      <c r="G39" s="941"/>
      <c r="H39" s="941"/>
      <c r="I39" s="941"/>
      <c r="J39" s="941"/>
      <c r="K39" s="941"/>
      <c r="L39" s="941"/>
      <c r="M39" s="941"/>
    </row>
    <row r="40" spans="1:13" ht="12.75" x14ac:dyDescent="0.2">
      <c r="A40" s="693">
        <v>36</v>
      </c>
      <c r="B40" s="876" t="str">
        <f t="shared" si="1"/>
        <v>Special care must be taken of ensure consistency of data with the units displayed.</v>
      </c>
      <c r="C40" s="876" t="s">
        <v>3098</v>
      </c>
      <c r="D40" s="941"/>
      <c r="E40" s="941"/>
      <c r="F40" s="941"/>
      <c r="G40" s="941"/>
      <c r="H40" s="941"/>
      <c r="I40" s="941"/>
      <c r="J40" s="941"/>
      <c r="K40" s="941"/>
      <c r="L40" s="941"/>
      <c r="M40" s="941"/>
    </row>
    <row r="41" spans="1:13" ht="12.75" x14ac:dyDescent="0.2">
      <c r="A41" s="693">
        <v>37</v>
      </c>
      <c r="B41" s="876" t="str">
        <f t="shared" si="1"/>
        <v>Colour codes and fonts:</v>
      </c>
      <c r="C41" s="876" t="s">
        <v>3099</v>
      </c>
      <c r="D41" s="941"/>
      <c r="E41" s="941"/>
      <c r="F41" s="941"/>
      <c r="G41" s="941"/>
      <c r="H41" s="941"/>
      <c r="I41" s="941"/>
      <c r="J41" s="941"/>
      <c r="K41" s="941"/>
      <c r="L41" s="941"/>
      <c r="M41" s="941"/>
    </row>
    <row r="42" spans="1:13" ht="12.75" x14ac:dyDescent="0.2">
      <c r="A42" s="693">
        <v>38</v>
      </c>
      <c r="B42" s="876" t="str">
        <f t="shared" si="1"/>
        <v>Black bold text:</v>
      </c>
      <c r="C42" s="876" t="s">
        <v>3100</v>
      </c>
      <c r="D42" s="941"/>
      <c r="E42" s="941"/>
      <c r="F42" s="941"/>
      <c r="G42" s="941"/>
      <c r="H42" s="941"/>
      <c r="I42" s="941"/>
      <c r="J42" s="941"/>
      <c r="K42" s="941"/>
      <c r="L42" s="941"/>
      <c r="M42" s="941"/>
    </row>
    <row r="43" spans="1:13" ht="12.75" x14ac:dyDescent="0.2">
      <c r="A43" s="693">
        <v>39</v>
      </c>
      <c r="B43" s="876" t="str">
        <f t="shared" si="1"/>
        <v>This is text describing the input required.</v>
      </c>
      <c r="C43" s="876" t="s">
        <v>3101</v>
      </c>
      <c r="D43" s="941"/>
      <c r="E43" s="941"/>
      <c r="F43" s="941"/>
      <c r="G43" s="941"/>
      <c r="H43" s="941"/>
      <c r="I43" s="941"/>
      <c r="J43" s="941"/>
      <c r="K43" s="941"/>
      <c r="L43" s="941"/>
      <c r="M43" s="941"/>
    </row>
    <row r="44" spans="1:13" ht="12.75" x14ac:dyDescent="0.2">
      <c r="A44" s="693">
        <v>40</v>
      </c>
      <c r="B44" s="876" t="str">
        <f t="shared" si="1"/>
        <v>Smaller italic text:</v>
      </c>
      <c r="C44" s="876" t="s">
        <v>3102</v>
      </c>
      <c r="D44" s="941"/>
      <c r="E44" s="941"/>
      <c r="F44" s="941"/>
      <c r="G44" s="941"/>
      <c r="H44" s="941"/>
      <c r="I44" s="941"/>
      <c r="J44" s="941"/>
      <c r="K44" s="941"/>
      <c r="L44" s="941"/>
      <c r="M44" s="941"/>
    </row>
    <row r="45" spans="1:13" ht="12.75" x14ac:dyDescent="0.2">
      <c r="A45" s="693">
        <v>41</v>
      </c>
      <c r="B45" s="876" t="str">
        <f t="shared" si="1"/>
        <v xml:space="preserve">This text gives further explanations. </v>
      </c>
      <c r="C45" s="876" t="s">
        <v>3103</v>
      </c>
      <c r="D45" s="941"/>
      <c r="E45" s="941"/>
      <c r="F45" s="941"/>
      <c r="G45" s="941"/>
      <c r="H45" s="941"/>
      <c r="I45" s="941"/>
      <c r="J45" s="941"/>
      <c r="K45" s="941"/>
      <c r="L45" s="941"/>
      <c r="M45" s="941"/>
    </row>
    <row r="46" spans="1:13" ht="12.75" x14ac:dyDescent="0.2">
      <c r="A46" s="693">
        <v>42</v>
      </c>
      <c r="B46" s="876" t="str">
        <f t="shared" si="1"/>
        <v>Yellow fields indicate mandatory inputs for the calculation of embedded emissions and for other information required.</v>
      </c>
      <c r="C46" s="876" t="s">
        <v>3104</v>
      </c>
      <c r="D46" s="941"/>
      <c r="E46" s="941"/>
      <c r="F46" s="941"/>
      <c r="G46" s="941"/>
      <c r="H46" s="941"/>
      <c r="I46" s="941"/>
      <c r="J46" s="941"/>
      <c r="K46" s="941"/>
      <c r="L46" s="941"/>
      <c r="M46" s="941"/>
    </row>
    <row r="47" spans="1:13" ht="12.75" x14ac:dyDescent="0.2">
      <c r="A47" s="693">
        <v>43</v>
      </c>
      <c r="B47" s="876" t="str">
        <f t="shared" si="1"/>
        <v>Light yellow fields indicate that an input is optional.</v>
      </c>
      <c r="C47" s="876" t="s">
        <v>3105</v>
      </c>
      <c r="D47" s="941"/>
      <c r="E47" s="941"/>
      <c r="F47" s="941"/>
      <c r="G47" s="941"/>
      <c r="H47" s="941"/>
      <c r="I47" s="941"/>
      <c r="J47" s="941"/>
      <c r="K47" s="941"/>
      <c r="L47" s="941"/>
      <c r="M47" s="941"/>
    </row>
    <row r="48" spans="1:13" ht="12.75" x14ac:dyDescent="0.2">
      <c r="A48" s="693">
        <v>44</v>
      </c>
      <c r="B48" s="876" t="str">
        <f t="shared" si="1"/>
        <v>Green fields show automatically calculated results. Red text indicates error messages (missing data etc).</v>
      </c>
      <c r="C48" s="876" t="s">
        <v>3106</v>
      </c>
      <c r="D48" s="941"/>
      <c r="E48" s="941"/>
      <c r="F48" s="941"/>
      <c r="G48" s="941"/>
      <c r="H48" s="941"/>
      <c r="I48" s="941"/>
      <c r="J48" s="941"/>
      <c r="K48" s="941"/>
      <c r="L48" s="941"/>
      <c r="M48" s="941"/>
    </row>
    <row r="49" spans="1:13" ht="12.75" x14ac:dyDescent="0.2">
      <c r="A49" s="693">
        <v>45</v>
      </c>
      <c r="B49" s="876" t="str">
        <f t="shared" si="1"/>
        <v>Shaded fields indicate that an input in another field makes the input here irrelevant.</v>
      </c>
      <c r="C49" s="876" t="s">
        <v>3107</v>
      </c>
      <c r="D49" s="941"/>
      <c r="E49" s="941"/>
      <c r="F49" s="941"/>
      <c r="G49" s="941"/>
      <c r="H49" s="941"/>
      <c r="I49" s="941"/>
      <c r="J49" s="941"/>
      <c r="K49" s="941"/>
      <c r="L49" s="941"/>
      <c r="M49" s="941"/>
    </row>
    <row r="50" spans="1:13" ht="12.75" x14ac:dyDescent="0.2">
      <c r="A50" s="693">
        <v>46</v>
      </c>
      <c r="B50" s="876" t="str">
        <f t="shared" si="1"/>
        <v>Light grey areas are dedicated for navigation and hyperlinks.</v>
      </c>
      <c r="C50" s="876" t="s">
        <v>3108</v>
      </c>
      <c r="D50" s="941"/>
      <c r="E50" s="941"/>
      <c r="F50" s="941"/>
      <c r="G50" s="941"/>
      <c r="H50" s="941"/>
      <c r="I50" s="941"/>
      <c r="J50" s="941"/>
      <c r="K50" s="941"/>
      <c r="L50" s="941"/>
      <c r="M50" s="941"/>
    </row>
    <row r="51" spans="1:13" ht="12.75" x14ac:dyDescent="0.2">
      <c r="A51" s="693">
        <v>47</v>
      </c>
      <c r="B51" s="876" t="str">
        <f t="shared" si="1"/>
        <v>Additionally, there are colour indicators in some sheets (e.g. D, E) indicating the following:</v>
      </c>
      <c r="C51" s="876" t="s">
        <v>3109</v>
      </c>
      <c r="D51" s="941"/>
      <c r="E51" s="941"/>
      <c r="F51" s="941"/>
      <c r="G51" s="941"/>
      <c r="H51" s="941"/>
      <c r="I51" s="941"/>
      <c r="J51" s="941"/>
      <c r="K51" s="941"/>
      <c r="L51" s="941"/>
      <c r="M51" s="941"/>
    </row>
    <row r="52" spans="1:13" ht="12.75" x14ac:dyDescent="0.2">
      <c r="A52" s="693">
        <v>48</v>
      </c>
      <c r="B52" s="875" t="str">
        <f t="shared" si="1"/>
        <v>White indicates that data entry is not required here, based on entries in another field making inputs here irrelevant (see 'shaded fields' above).</v>
      </c>
      <c r="C52" s="875" t="s">
        <v>3110</v>
      </c>
      <c r="D52" s="945"/>
      <c r="E52" s="945"/>
      <c r="F52" s="945"/>
      <c r="G52" s="945"/>
      <c r="H52" s="945"/>
      <c r="I52" s="945"/>
      <c r="J52" s="945"/>
      <c r="K52" s="945"/>
      <c r="L52" s="945"/>
      <c r="M52" s="945"/>
    </row>
    <row r="53" spans="1:13" ht="12.75" x14ac:dyDescent="0.2">
      <c r="A53" s="693">
        <v>49</v>
      </c>
      <c r="B53" s="875" t="str">
        <f t="shared" si="1"/>
        <v>Red colour indicates data inputs are required but the relevant cells are empty or filled incorrectly.</v>
      </c>
      <c r="C53" s="875" t="s">
        <v>3111</v>
      </c>
      <c r="D53" s="945"/>
      <c r="E53" s="945"/>
      <c r="F53" s="945"/>
      <c r="G53" s="945"/>
      <c r="H53" s="945"/>
      <c r="I53" s="945"/>
      <c r="J53" s="945"/>
      <c r="K53" s="945"/>
      <c r="L53" s="945"/>
      <c r="M53" s="945"/>
    </row>
    <row r="54" spans="1:13" ht="12.75" x14ac:dyDescent="0.2">
      <c r="A54" s="693">
        <v>50</v>
      </c>
      <c r="B54" s="875" t="str">
        <f t="shared" si="1"/>
        <v>Green colour indicates data inputs are required and cells have been filled correctly.</v>
      </c>
      <c r="C54" s="875" t="s">
        <v>3112</v>
      </c>
      <c r="D54" s="945"/>
      <c r="E54" s="945"/>
      <c r="F54" s="945"/>
      <c r="G54" s="945"/>
      <c r="H54" s="945"/>
      <c r="I54" s="945"/>
      <c r="J54" s="945"/>
      <c r="K54" s="945"/>
      <c r="L54" s="945"/>
      <c r="M54" s="945"/>
    </row>
    <row r="55" spans="1:13" ht="12.75" x14ac:dyDescent="0.2">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3113</v>
      </c>
      <c r="D55" s="941"/>
      <c r="E55" s="941"/>
      <c r="F55" s="941"/>
      <c r="G55" s="941"/>
      <c r="H55" s="941"/>
      <c r="I55" s="941"/>
      <c r="J55" s="941"/>
      <c r="K55" s="941"/>
      <c r="L55" s="941"/>
      <c r="M55" s="941"/>
    </row>
    <row r="56" spans="1:13" ht="12.75" x14ac:dyDescent="0.2">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3114</v>
      </c>
      <c r="D56" s="941"/>
      <c r="E56" s="941"/>
      <c r="F56" s="941"/>
      <c r="G56" s="941"/>
      <c r="H56" s="941"/>
      <c r="I56" s="941"/>
      <c r="J56" s="941"/>
      <c r="K56" s="941"/>
      <c r="L56" s="941"/>
      <c r="M56" s="941"/>
    </row>
    <row r="57" spans="1:13" ht="12.75" x14ac:dyDescent="0.2">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3115</v>
      </c>
      <c r="D57" s="941"/>
      <c r="E57" s="941"/>
      <c r="F57" s="941"/>
      <c r="G57" s="941"/>
      <c r="H57" s="941"/>
      <c r="I57" s="941"/>
      <c r="J57" s="941"/>
      <c r="K57" s="941"/>
      <c r="L57" s="941"/>
      <c r="M57" s="941"/>
    </row>
    <row r="58" spans="1:13" ht="12.75" x14ac:dyDescent="0.2">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3116</v>
      </c>
      <c r="D58" s="946"/>
      <c r="E58" s="946"/>
      <c r="F58" s="946"/>
      <c r="G58" s="946"/>
      <c r="H58" s="946"/>
      <c r="I58" s="946"/>
      <c r="J58" s="946"/>
      <c r="K58" s="946"/>
      <c r="L58" s="946"/>
      <c r="M58" s="946"/>
    </row>
    <row r="59" spans="1:13" ht="12.75" x14ac:dyDescent="0.2">
      <c r="A59" s="693">
        <v>55</v>
      </c>
      <c r="B59" s="712" t="str">
        <f t="shared" si="1"/>
        <v>Information sources:</v>
      </c>
      <c r="C59" s="712" t="s">
        <v>3117</v>
      </c>
      <c r="D59" s="947"/>
      <c r="E59" s="947"/>
      <c r="F59" s="947"/>
      <c r="G59" s="947"/>
      <c r="H59" s="947"/>
      <c r="I59" s="947"/>
      <c r="J59" s="947"/>
      <c r="K59" s="947"/>
      <c r="L59" s="947"/>
      <c r="M59" s="947"/>
    </row>
    <row r="60" spans="1:13" ht="12.75" x14ac:dyDescent="0.2">
      <c r="A60" s="693">
        <v>56</v>
      </c>
      <c r="B60" s="713" t="str">
        <f t="shared" si="1"/>
        <v>EU CBAM websites:</v>
      </c>
      <c r="C60" s="713" t="s">
        <v>3118</v>
      </c>
      <c r="D60" s="948"/>
      <c r="E60" s="948"/>
      <c r="F60" s="948"/>
      <c r="G60" s="948"/>
      <c r="H60" s="948"/>
      <c r="I60" s="948"/>
      <c r="J60" s="948"/>
      <c r="K60" s="948"/>
      <c r="L60" s="948"/>
      <c r="M60" s="948"/>
    </row>
    <row r="61" spans="1:13" ht="12.75" x14ac:dyDescent="0.2">
      <c r="A61" s="693">
        <v>57</v>
      </c>
      <c r="B61" s="714" t="str">
        <f t="shared" si="1"/>
        <v>https://taxation-customs.ec.europa.eu/carbon-border-adjustment-mechanism_en</v>
      </c>
      <c r="C61" s="871" t="s">
        <v>1347</v>
      </c>
      <c r="D61" s="949"/>
      <c r="E61" s="949"/>
      <c r="F61" s="949"/>
      <c r="G61" s="949"/>
      <c r="H61" s="949"/>
      <c r="I61" s="949"/>
      <c r="J61" s="949"/>
      <c r="K61" s="949"/>
      <c r="L61" s="949"/>
      <c r="M61" s="949"/>
    </row>
    <row r="62" spans="1:13" ht="12.75" x14ac:dyDescent="0.2">
      <c r="A62" s="693">
        <v>58</v>
      </c>
      <c r="B62" s="713" t="str">
        <f t="shared" si="1"/>
        <v>EU-Legislation:</v>
      </c>
      <c r="C62" s="713" t="s">
        <v>3119</v>
      </c>
      <c r="D62" s="948"/>
      <c r="E62" s="948"/>
      <c r="F62" s="948"/>
      <c r="G62" s="948"/>
      <c r="H62" s="948"/>
      <c r="I62" s="948"/>
      <c r="J62" s="948"/>
      <c r="K62" s="948"/>
      <c r="L62" s="948"/>
      <c r="M62" s="948"/>
    </row>
    <row r="63" spans="1:13" ht="13.5" thickBot="1" x14ac:dyDescent="0.25">
      <c r="A63" s="693">
        <v>59</v>
      </c>
      <c r="B63" s="871" t="str">
        <f t="shared" si="1"/>
        <v>http://eur-lex.europa.eu/en/index.htm</v>
      </c>
      <c r="C63" s="871" t="s">
        <v>3120</v>
      </c>
      <c r="D63" s="950"/>
      <c r="E63" s="950"/>
      <c r="F63" s="950"/>
      <c r="G63" s="950"/>
      <c r="H63" s="950"/>
      <c r="I63" s="950"/>
      <c r="J63" s="950"/>
      <c r="K63" s="950"/>
      <c r="L63" s="950"/>
      <c r="M63" s="950"/>
    </row>
    <row r="64" spans="1:13" ht="12.75" x14ac:dyDescent="0.2">
      <c r="A64" s="693">
        <v>60</v>
      </c>
      <c r="B64" s="754" t="str">
        <f t="shared" si="1"/>
        <v>InstData</v>
      </c>
      <c r="C64" s="754" t="s">
        <v>3121</v>
      </c>
      <c r="D64" s="929"/>
      <c r="E64" s="929"/>
      <c r="F64" s="929"/>
      <c r="G64" s="929"/>
      <c r="H64" s="929"/>
      <c r="I64" s="929"/>
      <c r="J64" s="929"/>
      <c r="K64" s="929"/>
      <c r="L64" s="929"/>
      <c r="M64" s="929"/>
    </row>
    <row r="65" spans="1:13" ht="18" x14ac:dyDescent="0.2">
      <c r="A65" s="693">
        <v>61</v>
      </c>
      <c r="B65" s="316" t="str">
        <f t="shared" si="1"/>
        <v xml:space="preserve">Sheet "A_InstData" - General information, production processes and purchased precursors </v>
      </c>
      <c r="C65" s="316" t="s">
        <v>3122</v>
      </c>
      <c r="D65" s="931"/>
      <c r="E65" s="931"/>
      <c r="F65" s="931"/>
      <c r="G65" s="931"/>
      <c r="H65" s="931"/>
      <c r="I65" s="931"/>
      <c r="J65" s="931"/>
      <c r="K65" s="931"/>
      <c r="L65" s="931"/>
      <c r="M65" s="931"/>
    </row>
    <row r="66" spans="1:13" ht="12.75" x14ac:dyDescent="0.2">
      <c r="A66" s="693">
        <v>62</v>
      </c>
      <c r="B66" s="162" t="str">
        <f t="shared" si="1"/>
        <v>Errors</v>
      </c>
      <c r="C66" s="162" t="s">
        <v>3123</v>
      </c>
      <c r="D66" s="940"/>
      <c r="E66" s="940"/>
      <c r="F66" s="940"/>
      <c r="G66" s="940"/>
      <c r="H66" s="940"/>
      <c r="I66" s="940"/>
      <c r="J66" s="940"/>
      <c r="K66" s="940"/>
      <c r="L66" s="940"/>
      <c r="M66" s="940"/>
    </row>
    <row r="67" spans="1:13" ht="18" x14ac:dyDescent="0.2">
      <c r="A67" s="693">
        <v>63</v>
      </c>
      <c r="B67" s="715" t="str">
        <f t="shared" si="1"/>
        <v>Reporting period</v>
      </c>
      <c r="C67" s="715" t="s">
        <v>3124</v>
      </c>
      <c r="D67" s="951"/>
      <c r="E67" s="951"/>
      <c r="F67" s="951"/>
      <c r="G67" s="951"/>
      <c r="H67" s="951"/>
      <c r="I67" s="951"/>
      <c r="J67" s="951"/>
      <c r="K67" s="951"/>
      <c r="L67" s="951"/>
      <c r="M67" s="951"/>
    </row>
    <row r="68" spans="1:13" ht="15" x14ac:dyDescent="0.2">
      <c r="A68" s="693">
        <v>64</v>
      </c>
      <c r="B68" s="716" t="str">
        <f t="shared" si="1"/>
        <v>Start:</v>
      </c>
      <c r="C68" s="716" t="s">
        <v>3125</v>
      </c>
      <c r="D68" s="952"/>
      <c r="E68" s="952"/>
      <c r="F68" s="952"/>
      <c r="G68" s="952"/>
      <c r="H68" s="952"/>
      <c r="I68" s="952"/>
      <c r="J68" s="952"/>
      <c r="K68" s="952"/>
      <c r="L68" s="952"/>
      <c r="M68" s="952"/>
    </row>
    <row r="69" spans="1:13" ht="15" x14ac:dyDescent="0.2">
      <c r="A69" s="693">
        <v>65</v>
      </c>
      <c r="B69" s="716" t="str">
        <f t="shared" si="1"/>
        <v>End:</v>
      </c>
      <c r="C69" s="716" t="s">
        <v>3126</v>
      </c>
      <c r="D69" s="952"/>
      <c r="E69" s="952"/>
      <c r="F69" s="952"/>
      <c r="G69" s="952"/>
      <c r="H69" s="952"/>
      <c r="I69" s="952"/>
      <c r="J69" s="952"/>
      <c r="K69" s="952"/>
      <c r="L69" s="952"/>
      <c r="M69" s="952"/>
    </row>
    <row r="70" spans="1:13" x14ac:dyDescent="0.2">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3127</v>
      </c>
      <c r="D70" s="953"/>
      <c r="E70" s="953"/>
      <c r="F70" s="953"/>
      <c r="G70" s="953"/>
      <c r="H70" s="953"/>
      <c r="I70" s="953"/>
      <c r="J70" s="953"/>
      <c r="K70" s="953"/>
      <c r="L70" s="953"/>
      <c r="M70" s="953"/>
    </row>
    <row r="71" spans="1:13" x14ac:dyDescent="0.2">
      <c r="A71" s="693">
        <v>67</v>
      </c>
      <c r="B71" s="757" t="str">
        <f t="shared" si="1"/>
        <v>It is important that all data entered in this template (embedded emissions, carbon price due, product properties, etc.) all relate to that same reporting period entered above.</v>
      </c>
      <c r="C71" s="757" t="s">
        <v>3128</v>
      </c>
      <c r="D71" s="954"/>
      <c r="E71" s="954"/>
      <c r="F71" s="954"/>
      <c r="G71" s="954"/>
      <c r="H71" s="954"/>
      <c r="I71" s="954"/>
      <c r="J71" s="954"/>
      <c r="K71" s="954"/>
      <c r="L71" s="954"/>
      <c r="M71" s="954"/>
    </row>
    <row r="72" spans="1:13" ht="15.75" x14ac:dyDescent="0.2">
      <c r="A72" s="693">
        <v>68</v>
      </c>
      <c r="B72" s="315" t="str">
        <f t="shared" si="1"/>
        <v>About the installation</v>
      </c>
      <c r="C72" s="315" t="s">
        <v>3129</v>
      </c>
      <c r="D72" s="939"/>
      <c r="E72" s="939"/>
      <c r="F72" s="939"/>
      <c r="G72" s="939"/>
      <c r="H72" s="939"/>
      <c r="I72" s="939"/>
      <c r="J72" s="939"/>
      <c r="K72" s="939"/>
      <c r="L72" s="939"/>
      <c r="M72" s="939"/>
    </row>
    <row r="73" spans="1:13" ht="12.75" x14ac:dyDescent="0.2">
      <c r="A73" s="693">
        <v>69</v>
      </c>
      <c r="B73" s="758" t="str">
        <f t="shared" si="1"/>
        <v>Name of the installation (optional):</v>
      </c>
      <c r="C73" s="758" t="s">
        <v>3130</v>
      </c>
      <c r="D73" s="955"/>
      <c r="E73" s="955"/>
      <c r="F73" s="955"/>
      <c r="G73" s="955"/>
      <c r="H73" s="955"/>
      <c r="I73" s="955"/>
      <c r="J73" s="955"/>
      <c r="K73" s="955"/>
      <c r="L73" s="955"/>
      <c r="M73" s="955"/>
    </row>
    <row r="74" spans="1:13" ht="12.75" x14ac:dyDescent="0.2">
      <c r="A74" s="693">
        <v>70</v>
      </c>
      <c r="B74" s="751" t="str">
        <f t="shared" si="1"/>
        <v>Name of the installation (English name):</v>
      </c>
      <c r="C74" s="751" t="s">
        <v>1374</v>
      </c>
      <c r="D74" s="956"/>
      <c r="E74" s="956"/>
      <c r="F74" s="956"/>
      <c r="G74" s="956"/>
      <c r="H74" s="956"/>
      <c r="I74" s="956"/>
      <c r="J74" s="956"/>
      <c r="K74" s="956"/>
      <c r="L74" s="956"/>
      <c r="M74" s="956"/>
    </row>
    <row r="75" spans="1:13" ht="12.75" x14ac:dyDescent="0.2">
      <c r="A75" s="693">
        <v>71</v>
      </c>
      <c r="B75" s="759" t="str">
        <f t="shared" ref="B75:B138" si="2">IFERROR(INDEX(C75:M75,$A$4-2),$C75)</f>
        <v>Street, Number:</v>
      </c>
      <c r="C75" s="759" t="s">
        <v>1375</v>
      </c>
      <c r="D75" s="957"/>
      <c r="E75" s="957"/>
      <c r="F75" s="957"/>
      <c r="G75" s="957"/>
      <c r="H75" s="957"/>
      <c r="I75" s="957"/>
      <c r="J75" s="957"/>
      <c r="K75" s="957"/>
      <c r="L75" s="957"/>
      <c r="M75" s="957"/>
    </row>
    <row r="76" spans="1:13" ht="12.75" x14ac:dyDescent="0.2">
      <c r="A76" s="693">
        <v>72</v>
      </c>
      <c r="B76" s="759" t="str">
        <f t="shared" si="2"/>
        <v>Economic activity:</v>
      </c>
      <c r="C76" s="759" t="s">
        <v>1376</v>
      </c>
      <c r="D76" s="957"/>
      <c r="E76" s="957"/>
      <c r="F76" s="957"/>
      <c r="G76" s="957"/>
      <c r="H76" s="957"/>
      <c r="I76" s="957"/>
      <c r="J76" s="957"/>
      <c r="K76" s="957"/>
      <c r="L76" s="957"/>
      <c r="M76" s="957"/>
    </row>
    <row r="77" spans="1:13" ht="12.75" x14ac:dyDescent="0.2">
      <c r="A77" s="693">
        <v>73</v>
      </c>
      <c r="B77" s="759" t="str">
        <f t="shared" si="2"/>
        <v>Post code:</v>
      </c>
      <c r="C77" s="759" t="s">
        <v>3131</v>
      </c>
      <c r="D77" s="957"/>
      <c r="E77" s="957"/>
      <c r="F77" s="957"/>
      <c r="G77" s="957"/>
      <c r="H77" s="957"/>
      <c r="I77" s="957"/>
      <c r="J77" s="957"/>
      <c r="K77" s="957"/>
      <c r="L77" s="957"/>
      <c r="M77" s="957"/>
    </row>
    <row r="78" spans="1:13" ht="12.75" x14ac:dyDescent="0.2">
      <c r="A78" s="693">
        <v>74</v>
      </c>
      <c r="B78" s="759" t="str">
        <f t="shared" si="2"/>
        <v>P.O. Box:</v>
      </c>
      <c r="C78" s="759" t="s">
        <v>3132</v>
      </c>
      <c r="D78" s="957"/>
      <c r="E78" s="957"/>
      <c r="F78" s="957"/>
      <c r="G78" s="957"/>
      <c r="H78" s="957"/>
      <c r="I78" s="957"/>
      <c r="J78" s="957"/>
      <c r="K78" s="957"/>
      <c r="L78" s="957"/>
      <c r="M78" s="957"/>
    </row>
    <row r="79" spans="1:13" ht="12.75" x14ac:dyDescent="0.2">
      <c r="A79" s="693">
        <v>75</v>
      </c>
      <c r="B79" s="759" t="str">
        <f t="shared" si="2"/>
        <v>City:</v>
      </c>
      <c r="C79" s="759" t="s">
        <v>3133</v>
      </c>
      <c r="D79" s="957"/>
      <c r="E79" s="957"/>
      <c r="F79" s="957"/>
      <c r="G79" s="957"/>
      <c r="H79" s="957"/>
      <c r="I79" s="957"/>
      <c r="J79" s="957"/>
      <c r="K79" s="957"/>
      <c r="L79" s="957"/>
      <c r="M79" s="957"/>
    </row>
    <row r="80" spans="1:13" ht="12.75" x14ac:dyDescent="0.2">
      <c r="A80" s="693">
        <v>76</v>
      </c>
      <c r="B80" s="759" t="str">
        <f t="shared" si="2"/>
        <v>Country:</v>
      </c>
      <c r="C80" s="759" t="s">
        <v>1377</v>
      </c>
      <c r="D80" s="957"/>
      <c r="E80" s="957"/>
      <c r="F80" s="957"/>
      <c r="G80" s="957"/>
      <c r="H80" s="957"/>
      <c r="I80" s="957"/>
      <c r="J80" s="957"/>
      <c r="K80" s="957"/>
      <c r="L80" s="957"/>
      <c r="M80" s="957"/>
    </row>
    <row r="81" spans="1:13" ht="12.75" x14ac:dyDescent="0.2">
      <c r="A81" s="693">
        <v>77</v>
      </c>
      <c r="B81" s="759" t="str">
        <f t="shared" si="2"/>
        <v>UNLOCODE:</v>
      </c>
      <c r="C81" s="759" t="s">
        <v>1379</v>
      </c>
      <c r="D81" s="957"/>
      <c r="E81" s="957"/>
      <c r="F81" s="957"/>
      <c r="G81" s="957"/>
      <c r="H81" s="957"/>
      <c r="I81" s="957"/>
      <c r="J81" s="957"/>
      <c r="K81" s="957"/>
      <c r="L81" s="957"/>
      <c r="M81" s="957"/>
    </row>
    <row r="82" spans="1:13" ht="12.75" x14ac:dyDescent="0.2">
      <c r="A82" s="693">
        <v>78</v>
      </c>
      <c r="B82" s="759" t="str">
        <f t="shared" si="2"/>
        <v>Coordinates of the main emission source (latitude):</v>
      </c>
      <c r="C82" s="759" t="s">
        <v>1381</v>
      </c>
      <c r="D82" s="957"/>
      <c r="E82" s="957"/>
      <c r="F82" s="957"/>
      <c r="G82" s="957"/>
      <c r="H82" s="957"/>
      <c r="I82" s="957"/>
      <c r="J82" s="957"/>
      <c r="K82" s="957"/>
      <c r="L82" s="957"/>
      <c r="M82" s="957"/>
    </row>
    <row r="83" spans="1:13" ht="12.75" x14ac:dyDescent="0.2">
      <c r="A83" s="693">
        <v>79</v>
      </c>
      <c r="B83" s="759" t="str">
        <f t="shared" si="2"/>
        <v>Coordinates of the main emission source (longitude):</v>
      </c>
      <c r="C83" s="759" t="s">
        <v>1383</v>
      </c>
      <c r="D83" s="957"/>
      <c r="E83" s="957"/>
      <c r="F83" s="957"/>
      <c r="G83" s="957"/>
      <c r="H83" s="957"/>
      <c r="I83" s="957"/>
      <c r="J83" s="957"/>
      <c r="K83" s="957"/>
      <c r="L83" s="957"/>
      <c r="M83" s="957"/>
    </row>
    <row r="84" spans="1:13" ht="12.75" x14ac:dyDescent="0.2">
      <c r="A84" s="693">
        <v>80</v>
      </c>
      <c r="B84" s="759" t="str">
        <f t="shared" si="2"/>
        <v>Name of authorized representative:</v>
      </c>
      <c r="C84" s="759" t="s">
        <v>3134</v>
      </c>
      <c r="D84" s="957"/>
      <c r="E84" s="957"/>
      <c r="F84" s="957"/>
      <c r="G84" s="957"/>
      <c r="H84" s="957"/>
      <c r="I84" s="957"/>
      <c r="J84" s="957"/>
      <c r="K84" s="957"/>
      <c r="L84" s="957"/>
      <c r="M84" s="957"/>
    </row>
    <row r="85" spans="1:13" ht="12.75" x14ac:dyDescent="0.2">
      <c r="A85" s="693">
        <v>81</v>
      </c>
      <c r="B85" s="759" t="str">
        <f t="shared" si="2"/>
        <v>Email:</v>
      </c>
      <c r="C85" s="759" t="s">
        <v>3135</v>
      </c>
      <c r="D85" s="957"/>
      <c r="E85" s="957"/>
      <c r="F85" s="957"/>
      <c r="G85" s="957"/>
      <c r="H85" s="957"/>
      <c r="I85" s="957"/>
      <c r="J85" s="957"/>
      <c r="K85" s="957"/>
      <c r="L85" s="957"/>
      <c r="M85" s="957"/>
    </row>
    <row r="86" spans="1:13" ht="12.75" x14ac:dyDescent="0.2">
      <c r="A86" s="693">
        <v>82</v>
      </c>
      <c r="B86" s="752" t="str">
        <f t="shared" si="2"/>
        <v>Telephone:</v>
      </c>
      <c r="C86" s="752" t="s">
        <v>3136</v>
      </c>
      <c r="D86" s="958"/>
      <c r="E86" s="958"/>
      <c r="F86" s="958"/>
      <c r="G86" s="958"/>
      <c r="H86" s="958"/>
      <c r="I86" s="958"/>
      <c r="J86" s="958"/>
      <c r="K86" s="958"/>
      <c r="L86" s="958"/>
      <c r="M86" s="958"/>
    </row>
    <row r="87" spans="1:13" ht="15.75" x14ac:dyDescent="0.2">
      <c r="A87" s="693">
        <v>83</v>
      </c>
      <c r="B87" s="315" t="str">
        <f t="shared" si="2"/>
        <v>Verifier of the report – only if available and not required during transitional period</v>
      </c>
      <c r="C87" s="315" t="s">
        <v>3137</v>
      </c>
      <c r="D87" s="939"/>
      <c r="E87" s="939"/>
      <c r="F87" s="939"/>
      <c r="G87" s="939"/>
      <c r="H87" s="939"/>
      <c r="I87" s="939"/>
      <c r="J87" s="939"/>
      <c r="K87" s="939"/>
      <c r="L87" s="939"/>
      <c r="M87" s="939"/>
    </row>
    <row r="88" spans="1:13" ht="12.75" x14ac:dyDescent="0.2">
      <c r="A88" s="693">
        <v>84</v>
      </c>
      <c r="B88" s="162" t="str">
        <f t="shared" si="2"/>
        <v>Verifier</v>
      </c>
      <c r="C88" s="162" t="s">
        <v>3138</v>
      </c>
      <c r="D88" s="940"/>
      <c r="E88" s="940"/>
      <c r="F88" s="940"/>
      <c r="G88" s="940"/>
      <c r="H88" s="940"/>
      <c r="I88" s="940"/>
      <c r="J88" s="940"/>
      <c r="K88" s="940"/>
      <c r="L88" s="940"/>
      <c r="M88" s="940"/>
    </row>
    <row r="89" spans="1:13" ht="12.75" x14ac:dyDescent="0.2">
      <c r="A89" s="693">
        <v>85</v>
      </c>
      <c r="B89" s="706" t="str">
        <f t="shared" si="2"/>
        <v>Name and address of the verifier of this report:</v>
      </c>
      <c r="C89" s="706" t="s">
        <v>3139</v>
      </c>
      <c r="D89" s="935"/>
      <c r="E89" s="935"/>
      <c r="F89" s="935"/>
      <c r="G89" s="935"/>
      <c r="H89" s="935"/>
      <c r="I89" s="935"/>
      <c r="J89" s="935"/>
      <c r="K89" s="935"/>
      <c r="L89" s="935"/>
      <c r="M89" s="935"/>
    </row>
    <row r="90" spans="1:13" ht="12.75" x14ac:dyDescent="0.2">
      <c r="A90" s="693">
        <v>86</v>
      </c>
      <c r="B90" s="758" t="str">
        <f t="shared" si="2"/>
        <v>Company Name:</v>
      </c>
      <c r="C90" s="758" t="s">
        <v>3140</v>
      </c>
      <c r="D90" s="955"/>
      <c r="E90" s="955"/>
      <c r="F90" s="955"/>
      <c r="G90" s="955"/>
      <c r="H90" s="955"/>
      <c r="I90" s="955"/>
      <c r="J90" s="955"/>
      <c r="K90" s="955"/>
      <c r="L90" s="955"/>
      <c r="M90" s="955"/>
    </row>
    <row r="91" spans="1:13" ht="12.75" x14ac:dyDescent="0.2">
      <c r="A91" s="693">
        <v>87</v>
      </c>
      <c r="B91" s="751" t="str">
        <f t="shared" si="2"/>
        <v>Postcode/ZIP:</v>
      </c>
      <c r="C91" s="751" t="s">
        <v>3141</v>
      </c>
      <c r="D91" s="956"/>
      <c r="E91" s="956"/>
      <c r="F91" s="956"/>
      <c r="G91" s="956"/>
      <c r="H91" s="956"/>
      <c r="I91" s="956"/>
      <c r="J91" s="956"/>
      <c r="K91" s="956"/>
      <c r="L91" s="956"/>
      <c r="M91" s="956"/>
    </row>
    <row r="92" spans="1:13" ht="12.75" x14ac:dyDescent="0.2">
      <c r="A92" s="693">
        <v>88</v>
      </c>
      <c r="B92" s="706" t="str">
        <f t="shared" si="2"/>
        <v>Authorised representative of the verifier:</v>
      </c>
      <c r="C92" s="706" t="s">
        <v>3142</v>
      </c>
      <c r="D92" s="935"/>
      <c r="E92" s="935"/>
      <c r="F92" s="935"/>
      <c r="G92" s="935"/>
      <c r="H92" s="935"/>
      <c r="I92" s="935"/>
      <c r="J92" s="935"/>
      <c r="K92" s="935"/>
      <c r="L92" s="935"/>
      <c r="M92" s="935"/>
    </row>
    <row r="93" spans="1:13" x14ac:dyDescent="0.2">
      <c r="A93" s="693">
        <v>89</v>
      </c>
      <c r="B93" s="760" t="str">
        <f t="shared" si="2"/>
        <v>The nominated person should be familiar with this report. Ideally it is the lead verifier involved with this report.</v>
      </c>
      <c r="C93" s="760" t="s">
        <v>3143</v>
      </c>
      <c r="D93" s="959"/>
      <c r="E93" s="959"/>
      <c r="F93" s="959"/>
      <c r="G93" s="959"/>
      <c r="H93" s="959"/>
      <c r="I93" s="959"/>
      <c r="J93" s="959"/>
      <c r="K93" s="959"/>
      <c r="L93" s="959"/>
      <c r="M93" s="959"/>
    </row>
    <row r="94" spans="1:13" ht="12.75" x14ac:dyDescent="0.2">
      <c r="A94" s="693">
        <v>90</v>
      </c>
      <c r="B94" s="758" t="str">
        <f t="shared" si="2"/>
        <v>Name:</v>
      </c>
      <c r="C94" s="758" t="s">
        <v>3144</v>
      </c>
      <c r="D94" s="955"/>
      <c r="E94" s="955"/>
      <c r="F94" s="955"/>
      <c r="G94" s="955"/>
      <c r="H94" s="955"/>
      <c r="I94" s="955"/>
      <c r="J94" s="955"/>
      <c r="K94" s="955"/>
      <c r="L94" s="955"/>
      <c r="M94" s="955"/>
    </row>
    <row r="95" spans="1:13" ht="12.75" x14ac:dyDescent="0.2">
      <c r="A95" s="693">
        <v>91</v>
      </c>
      <c r="B95" s="751" t="str">
        <f t="shared" si="2"/>
        <v>Email address:</v>
      </c>
      <c r="C95" s="751" t="s">
        <v>3145</v>
      </c>
      <c r="D95" s="956"/>
      <c r="E95" s="956"/>
      <c r="F95" s="956"/>
      <c r="G95" s="956"/>
      <c r="H95" s="956"/>
      <c r="I95" s="956"/>
      <c r="J95" s="956"/>
      <c r="K95" s="956"/>
      <c r="L95" s="956"/>
      <c r="M95" s="956"/>
    </row>
    <row r="96" spans="1:13" ht="12.75" x14ac:dyDescent="0.2">
      <c r="A96" s="693">
        <v>92</v>
      </c>
      <c r="B96" s="751" t="str">
        <f t="shared" si="2"/>
        <v>Telephone number:</v>
      </c>
      <c r="C96" s="751" t="s">
        <v>3146</v>
      </c>
      <c r="D96" s="956"/>
      <c r="E96" s="956"/>
      <c r="F96" s="956"/>
      <c r="G96" s="956"/>
      <c r="H96" s="956"/>
      <c r="I96" s="956"/>
      <c r="J96" s="956"/>
      <c r="K96" s="956"/>
      <c r="L96" s="956"/>
      <c r="M96" s="956"/>
    </row>
    <row r="97" spans="1:13" ht="12.75" x14ac:dyDescent="0.2">
      <c r="A97" s="693">
        <v>93</v>
      </c>
      <c r="B97" s="752" t="str">
        <f t="shared" si="2"/>
        <v>Fax:</v>
      </c>
      <c r="C97" s="752" t="s">
        <v>3147</v>
      </c>
      <c r="D97" s="958"/>
      <c r="E97" s="958"/>
      <c r="F97" s="958"/>
      <c r="G97" s="958"/>
      <c r="H97" s="958"/>
      <c r="I97" s="958"/>
      <c r="J97" s="958"/>
      <c r="K97" s="958"/>
      <c r="L97" s="958"/>
      <c r="M97" s="958"/>
    </row>
    <row r="98" spans="1:13" ht="12.75" x14ac:dyDescent="0.2">
      <c r="A98" s="693">
        <v>94</v>
      </c>
      <c r="B98" s="706" t="str">
        <f t="shared" si="2"/>
        <v>Information about the verifier's accreditation:</v>
      </c>
      <c r="C98" s="706" t="s">
        <v>3148</v>
      </c>
      <c r="D98" s="935"/>
      <c r="E98" s="935"/>
      <c r="F98" s="935"/>
      <c r="G98" s="935"/>
      <c r="H98" s="935"/>
      <c r="I98" s="935"/>
      <c r="J98" s="935"/>
      <c r="K98" s="935"/>
      <c r="L98" s="935"/>
      <c r="M98" s="935"/>
    </row>
    <row r="99" spans="1:13" ht="12.75" x14ac:dyDescent="0.2">
      <c r="A99" s="693">
        <v>95</v>
      </c>
      <c r="B99" s="758" t="str">
        <f t="shared" si="2"/>
        <v>Accreditation Member State:</v>
      </c>
      <c r="C99" s="758" t="s">
        <v>3149</v>
      </c>
      <c r="D99" s="955"/>
      <c r="E99" s="955"/>
      <c r="F99" s="955"/>
      <c r="G99" s="955"/>
      <c r="H99" s="955"/>
      <c r="I99" s="955"/>
      <c r="J99" s="955"/>
      <c r="K99" s="955"/>
      <c r="L99" s="955"/>
      <c r="M99" s="955"/>
    </row>
    <row r="100" spans="1:13" ht="12.75" x14ac:dyDescent="0.2">
      <c r="A100" s="693">
        <v>96</v>
      </c>
      <c r="B100" s="751" t="str">
        <f t="shared" si="2"/>
        <v>Name of the national accreditation body:</v>
      </c>
      <c r="C100" s="751" t="s">
        <v>3150</v>
      </c>
      <c r="D100" s="956"/>
      <c r="E100" s="956"/>
      <c r="F100" s="956"/>
      <c r="G100" s="956"/>
      <c r="H100" s="956"/>
      <c r="I100" s="956"/>
      <c r="J100" s="956"/>
      <c r="K100" s="956"/>
      <c r="L100" s="956"/>
      <c r="M100" s="956"/>
    </row>
    <row r="101" spans="1:13" ht="12.75" x14ac:dyDescent="0.2">
      <c r="A101" s="693">
        <v>97</v>
      </c>
      <c r="B101" s="752" t="str">
        <f t="shared" si="2"/>
        <v>Registration number issued by the Accreditation body:</v>
      </c>
      <c r="C101" s="752" t="s">
        <v>3151</v>
      </c>
      <c r="D101" s="958"/>
      <c r="E101" s="958"/>
      <c r="F101" s="958"/>
      <c r="G101" s="958"/>
      <c r="H101" s="958"/>
      <c r="I101" s="958"/>
      <c r="J101" s="958"/>
      <c r="K101" s="958"/>
      <c r="L101" s="958"/>
      <c r="M101" s="958"/>
    </row>
    <row r="102" spans="1:13" ht="15.75" x14ac:dyDescent="0.2">
      <c r="A102" s="693">
        <v>98</v>
      </c>
      <c r="B102" s="315" t="str">
        <f t="shared" si="2"/>
        <v>Aggregated goods categories and relevant production processes</v>
      </c>
      <c r="C102" s="315" t="s">
        <v>3152</v>
      </c>
      <c r="D102" s="939"/>
      <c r="E102" s="939"/>
      <c r="F102" s="939"/>
      <c r="G102" s="939"/>
      <c r="H102" s="939"/>
      <c r="I102" s="939"/>
      <c r="J102" s="939"/>
      <c r="K102" s="939"/>
      <c r="L102" s="939"/>
      <c r="M102" s="939"/>
    </row>
    <row r="103" spans="1:13" ht="12.75" x14ac:dyDescent="0.2">
      <c r="A103" s="693">
        <v>99</v>
      </c>
      <c r="B103" s="162" t="str">
        <f t="shared" si="2"/>
        <v>Goods &amp; precursors</v>
      </c>
      <c r="C103" s="162" t="s">
        <v>3153</v>
      </c>
      <c r="D103" s="940"/>
      <c r="E103" s="940"/>
      <c r="F103" s="940"/>
      <c r="G103" s="940"/>
      <c r="H103" s="940"/>
      <c r="I103" s="940"/>
      <c r="J103" s="940"/>
      <c r="K103" s="940"/>
      <c r="L103" s="940"/>
      <c r="M103" s="940"/>
    </row>
    <row r="104" spans="1:13" ht="12.75" x14ac:dyDescent="0.2">
      <c r="A104" s="693">
        <v>100</v>
      </c>
      <c r="B104" s="706" t="str">
        <f t="shared" si="2"/>
        <v>List of aggregated goods categories, relevant precursors and corresponding production routes</v>
      </c>
      <c r="C104" s="706" t="s">
        <v>3154</v>
      </c>
      <c r="D104" s="935"/>
      <c r="E104" s="935"/>
      <c r="F104" s="935"/>
      <c r="G104" s="935"/>
      <c r="H104" s="935"/>
      <c r="I104" s="935"/>
      <c r="J104" s="935"/>
      <c r="K104" s="935"/>
      <c r="L104" s="935"/>
      <c r="M104" s="935"/>
    </row>
    <row r="105" spans="1:13" x14ac:dyDescent="0.2">
      <c r="A105" s="693">
        <v>101</v>
      </c>
      <c r="B105" s="761" t="str">
        <f t="shared" si="2"/>
        <v>Please list here ALL aggregated goods categories, including any relevant precursor types produced WITHIN the installation.</v>
      </c>
      <c r="C105" s="761" t="s">
        <v>3155</v>
      </c>
      <c r="D105" s="960"/>
      <c r="E105" s="960"/>
      <c r="F105" s="960"/>
      <c r="G105" s="960"/>
      <c r="H105" s="960"/>
      <c r="I105" s="960"/>
      <c r="J105" s="960"/>
      <c r="K105" s="960"/>
      <c r="L105" s="960"/>
      <c r="M105" s="960"/>
    </row>
    <row r="106" spans="1:13" x14ac:dyDescent="0.2">
      <c r="A106" s="693">
        <v>102</v>
      </c>
      <c r="B106" s="761" t="str">
        <f t="shared" si="2"/>
        <v>Where relevant, please list all production routes through which the aggregated goods are produced.</v>
      </c>
      <c r="C106" s="761" t="s">
        <v>3156</v>
      </c>
      <c r="D106" s="960"/>
      <c r="E106" s="960"/>
      <c r="F106" s="960"/>
      <c r="G106" s="960"/>
      <c r="H106" s="960"/>
      <c r="I106" s="960"/>
      <c r="J106" s="960"/>
      <c r="K106" s="960"/>
      <c r="L106" s="960"/>
      <c r="M106" s="960"/>
    </row>
    <row r="107" spans="1:13" ht="12.75" x14ac:dyDescent="0.2">
      <c r="A107" s="693">
        <v>103</v>
      </c>
      <c r="B107" s="882" t="str">
        <f t="shared" si="2"/>
        <v>Aggregated goods category</v>
      </c>
      <c r="C107" s="882" t="s">
        <v>1369</v>
      </c>
      <c r="D107" s="961"/>
      <c r="E107" s="961"/>
      <c r="F107" s="961"/>
      <c r="G107" s="961"/>
      <c r="H107" s="961"/>
      <c r="I107" s="961"/>
      <c r="J107" s="961"/>
      <c r="K107" s="961"/>
      <c r="L107" s="961"/>
      <c r="M107" s="961"/>
    </row>
    <row r="108" spans="1:13" ht="12.75" x14ac:dyDescent="0.2">
      <c r="A108" s="693">
        <v>104</v>
      </c>
      <c r="B108" s="882" t="str">
        <f t="shared" si="2"/>
        <v>Route</v>
      </c>
      <c r="C108" s="882" t="s">
        <v>3157</v>
      </c>
      <c r="D108" s="961"/>
      <c r="E108" s="961"/>
      <c r="F108" s="961"/>
      <c r="G108" s="961"/>
      <c r="H108" s="961"/>
      <c r="I108" s="961"/>
      <c r="J108" s="961"/>
      <c r="K108" s="961"/>
      <c r="L108" s="961"/>
      <c r="M108" s="961"/>
    </row>
    <row r="109" spans="1:13" ht="12.75" x14ac:dyDescent="0.2">
      <c r="A109" s="693">
        <v>105</v>
      </c>
      <c r="B109" s="886" t="str">
        <f t="shared" si="2"/>
        <v>Route 1</v>
      </c>
      <c r="C109" s="886" t="s">
        <v>1362</v>
      </c>
      <c r="D109" s="962"/>
      <c r="E109" s="962"/>
      <c r="F109" s="962"/>
      <c r="G109" s="962"/>
      <c r="H109" s="962"/>
      <c r="I109" s="962"/>
      <c r="J109" s="962"/>
      <c r="K109" s="962"/>
      <c r="L109" s="962"/>
      <c r="M109" s="962"/>
    </row>
    <row r="110" spans="1:13" ht="12.75" x14ac:dyDescent="0.2">
      <c r="A110" s="693">
        <v>106</v>
      </c>
      <c r="B110" s="886" t="str">
        <f t="shared" si="2"/>
        <v>Route 2</v>
      </c>
      <c r="C110" s="886" t="s">
        <v>1363</v>
      </c>
      <c r="D110" s="962"/>
      <c r="E110" s="962"/>
      <c r="F110" s="962"/>
      <c r="G110" s="962"/>
      <c r="H110" s="962"/>
      <c r="I110" s="962"/>
      <c r="J110" s="962"/>
      <c r="K110" s="962"/>
      <c r="L110" s="962"/>
      <c r="M110" s="962"/>
    </row>
    <row r="111" spans="1:13" ht="12.75" x14ac:dyDescent="0.2">
      <c r="A111" s="693">
        <v>107</v>
      </c>
      <c r="B111" s="886" t="str">
        <f t="shared" si="2"/>
        <v>Route 3</v>
      </c>
      <c r="C111" s="886" t="s">
        <v>1364</v>
      </c>
      <c r="D111" s="962"/>
      <c r="E111" s="962"/>
      <c r="F111" s="962"/>
      <c r="G111" s="962"/>
      <c r="H111" s="962"/>
      <c r="I111" s="962"/>
      <c r="J111" s="962"/>
      <c r="K111" s="962"/>
      <c r="L111" s="962"/>
      <c r="M111" s="962"/>
    </row>
    <row r="112" spans="1:13" ht="12.75" x14ac:dyDescent="0.2">
      <c r="A112" s="693">
        <v>108</v>
      </c>
      <c r="B112" s="886" t="str">
        <f t="shared" si="2"/>
        <v>Route 4</v>
      </c>
      <c r="C112" s="886" t="s">
        <v>1365</v>
      </c>
      <c r="D112" s="962"/>
      <c r="E112" s="962"/>
      <c r="F112" s="962"/>
      <c r="G112" s="962"/>
      <c r="H112" s="962"/>
      <c r="I112" s="962"/>
      <c r="J112" s="962"/>
      <c r="K112" s="962"/>
      <c r="L112" s="962"/>
      <c r="M112" s="962"/>
    </row>
    <row r="113" spans="1:13" ht="12.75" x14ac:dyDescent="0.2">
      <c r="A113" s="693">
        <v>109</v>
      </c>
      <c r="B113" s="886" t="str">
        <f t="shared" si="2"/>
        <v>Route 5</v>
      </c>
      <c r="C113" s="886" t="s">
        <v>1366</v>
      </c>
      <c r="D113" s="962"/>
      <c r="E113" s="962"/>
      <c r="F113" s="962"/>
      <c r="G113" s="962"/>
      <c r="H113" s="962"/>
      <c r="I113" s="962"/>
      <c r="J113" s="962"/>
      <c r="K113" s="962"/>
      <c r="L113" s="962"/>
      <c r="M113" s="962"/>
    </row>
    <row r="114" spans="1:13" ht="12.75" x14ac:dyDescent="0.2">
      <c r="A114" s="693">
        <v>110</v>
      </c>
      <c r="B114" s="886" t="str">
        <f t="shared" si="2"/>
        <v>Route 6</v>
      </c>
      <c r="C114" s="886" t="s">
        <v>1367</v>
      </c>
      <c r="D114" s="962"/>
      <c r="E114" s="962"/>
      <c r="F114" s="962"/>
      <c r="G114" s="962"/>
      <c r="H114" s="962"/>
      <c r="I114" s="962"/>
      <c r="J114" s="962"/>
      <c r="K114" s="962"/>
      <c r="L114" s="962"/>
      <c r="M114" s="962"/>
    </row>
    <row r="115" spans="1:13" x14ac:dyDescent="0.2">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3158</v>
      </c>
      <c r="D115" s="960"/>
      <c r="E115" s="960"/>
      <c r="F115" s="960"/>
      <c r="G115" s="960"/>
      <c r="H115" s="960"/>
      <c r="I115" s="960"/>
      <c r="J115" s="960"/>
      <c r="K115" s="960"/>
      <c r="L115" s="960"/>
      <c r="M115" s="960"/>
    </row>
    <row r="116" spans="1:13" ht="12.75" x14ac:dyDescent="0.2">
      <c r="A116" s="693">
        <v>112</v>
      </c>
      <c r="B116" s="717" t="str">
        <f t="shared" si="2"/>
        <v>Relevant precursors:</v>
      </c>
      <c r="C116" s="717" t="s">
        <v>3159</v>
      </c>
      <c r="D116" s="963"/>
      <c r="E116" s="963"/>
      <c r="F116" s="963"/>
      <c r="G116" s="963"/>
      <c r="H116" s="963"/>
      <c r="I116" s="963"/>
      <c r="J116" s="963"/>
      <c r="K116" s="963"/>
      <c r="L116" s="963"/>
      <c r="M116" s="963"/>
    </row>
    <row r="117" spans="1:13" ht="12.75" x14ac:dyDescent="0.2">
      <c r="A117" s="693">
        <v>113</v>
      </c>
      <c r="B117" s="706" t="str">
        <f t="shared" si="2"/>
        <v>Relevant production processes</v>
      </c>
      <c r="C117" s="706" t="s">
        <v>3160</v>
      </c>
      <c r="D117" s="935"/>
      <c r="E117" s="935"/>
      <c r="F117" s="935"/>
      <c r="G117" s="935"/>
      <c r="H117" s="935"/>
      <c r="I117" s="935"/>
      <c r="J117" s="935"/>
      <c r="K117" s="935"/>
      <c r="L117" s="935"/>
      <c r="M117" s="935"/>
    </row>
    <row r="118" spans="1:13" x14ac:dyDescent="0.2">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3161</v>
      </c>
      <c r="D118" s="960"/>
      <c r="E118" s="960"/>
      <c r="F118" s="960"/>
      <c r="G118" s="960"/>
      <c r="H118" s="960"/>
      <c r="I118" s="960"/>
      <c r="J118" s="960"/>
      <c r="K118" s="960"/>
      <c r="L118" s="960"/>
      <c r="M118" s="960"/>
    </row>
    <row r="119" spans="1:13" x14ac:dyDescent="0.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3162</v>
      </c>
      <c r="D119" s="964"/>
      <c r="E119" s="964"/>
      <c r="F119" s="964"/>
      <c r="G119" s="964"/>
      <c r="H119" s="964"/>
      <c r="I119" s="964"/>
      <c r="J119" s="964"/>
      <c r="K119" s="964"/>
      <c r="L119" s="964"/>
      <c r="M119" s="964"/>
    </row>
    <row r="120" spans="1:13" ht="12.75" x14ac:dyDescent="0.2">
      <c r="A120" s="693">
        <v>116</v>
      </c>
      <c r="B120" s="892" t="str">
        <f t="shared" si="2"/>
        <v>Production process</v>
      </c>
      <c r="C120" s="892" t="s">
        <v>1368</v>
      </c>
      <c r="D120" s="965"/>
      <c r="E120" s="965"/>
      <c r="F120" s="965"/>
      <c r="G120" s="965"/>
      <c r="H120" s="965"/>
      <c r="I120" s="965"/>
      <c r="J120" s="965"/>
      <c r="K120" s="965"/>
      <c r="L120" s="965"/>
      <c r="M120" s="965"/>
    </row>
    <row r="121" spans="1:13" ht="12.75" x14ac:dyDescent="0.2">
      <c r="A121" s="693">
        <v>117</v>
      </c>
      <c r="B121" s="718" t="str">
        <f t="shared" si="2"/>
        <v>Included goods categories listed under (a)</v>
      </c>
      <c r="C121" s="718" t="s">
        <v>3163</v>
      </c>
      <c r="D121" s="966"/>
      <c r="E121" s="966"/>
      <c r="F121" s="966"/>
      <c r="G121" s="966"/>
      <c r="H121" s="966"/>
      <c r="I121" s="966"/>
      <c r="J121" s="966"/>
      <c r="K121" s="966"/>
      <c r="L121" s="966"/>
      <c r="M121" s="966"/>
    </row>
    <row r="122" spans="1:13" ht="12.75" x14ac:dyDescent="0.2">
      <c r="A122" s="693">
        <v>118</v>
      </c>
      <c r="B122" s="889" t="str">
        <f t="shared" si="2"/>
        <v>Name</v>
      </c>
      <c r="C122" s="889" t="s">
        <v>3164</v>
      </c>
      <c r="D122" s="967"/>
      <c r="E122" s="967"/>
      <c r="F122" s="967"/>
      <c r="G122" s="967"/>
      <c r="H122" s="967"/>
      <c r="I122" s="967"/>
      <c r="J122" s="967"/>
      <c r="K122" s="967"/>
      <c r="L122" s="967"/>
      <c r="M122" s="967"/>
    </row>
    <row r="123" spans="1:13" ht="12.75" x14ac:dyDescent="0.2">
      <c r="A123" s="693">
        <v>119</v>
      </c>
      <c r="B123" s="892" t="str">
        <f t="shared" si="2"/>
        <v>Error message</v>
      </c>
      <c r="C123" s="892" t="s">
        <v>3165</v>
      </c>
      <c r="D123" s="965"/>
      <c r="E123" s="965"/>
      <c r="F123" s="965"/>
      <c r="G123" s="965"/>
      <c r="H123" s="965"/>
      <c r="I123" s="965"/>
      <c r="J123" s="965"/>
      <c r="K123" s="965"/>
      <c r="L123" s="965"/>
      <c r="M123" s="965"/>
    </row>
    <row r="124" spans="1:13" ht="15.75" x14ac:dyDescent="0.2">
      <c r="A124" s="693">
        <v>120</v>
      </c>
      <c r="B124" s="315" t="str">
        <f t="shared" si="2"/>
        <v>Purchased precursors</v>
      </c>
      <c r="C124" s="315" t="s">
        <v>3166</v>
      </c>
      <c r="D124" s="939"/>
      <c r="E124" s="939"/>
      <c r="F124" s="939"/>
      <c r="G124" s="939"/>
      <c r="H124" s="939"/>
      <c r="I124" s="939"/>
      <c r="J124" s="939"/>
      <c r="K124" s="939"/>
      <c r="L124" s="939"/>
      <c r="M124" s="939"/>
    </row>
    <row r="125" spans="1:13" x14ac:dyDescent="0.2">
      <c r="A125" s="693">
        <v>121</v>
      </c>
      <c r="B125" s="761" t="str">
        <f t="shared" si="2"/>
        <v>Please list here all precursors that are produced OUTSIDE the installation (e.g. purchased) and consumed within the installation.</v>
      </c>
      <c r="C125" s="761" t="s">
        <v>3167</v>
      </c>
      <c r="D125" s="960"/>
      <c r="E125" s="960"/>
      <c r="F125" s="960"/>
      <c r="G125" s="960"/>
      <c r="H125" s="960"/>
      <c r="I125" s="960"/>
      <c r="J125" s="960"/>
      <c r="K125" s="960"/>
      <c r="L125" s="960"/>
      <c r="M125" s="960"/>
    </row>
    <row r="126" spans="1:13" ht="12.75" thickBot="1" x14ac:dyDescent="0.25">
      <c r="A126" s="693">
        <v>122</v>
      </c>
      <c r="B126" s="761" t="str">
        <f t="shared" si="2"/>
        <v>Please also list the country in which the relevant precursor was produced (see sheet "c_CodeLists" to find the correct country codes) and the relevant production routes, if known.</v>
      </c>
      <c r="C126" s="761" t="s">
        <v>3168</v>
      </c>
      <c r="D126" s="960"/>
      <c r="E126" s="960"/>
      <c r="F126" s="960"/>
      <c r="G126" s="960"/>
      <c r="H126" s="960"/>
      <c r="I126" s="960"/>
      <c r="J126" s="960"/>
      <c r="K126" s="960"/>
      <c r="L126" s="960"/>
      <c r="M126" s="960"/>
    </row>
    <row r="127" spans="1:13" ht="12.75" x14ac:dyDescent="0.2">
      <c r="A127" s="693">
        <v>123</v>
      </c>
      <c r="B127" s="754" t="str">
        <f t="shared" si="2"/>
        <v>Source streams</v>
      </c>
      <c r="C127" s="754" t="s">
        <v>3169</v>
      </c>
      <c r="D127" s="929"/>
      <c r="E127" s="929"/>
      <c r="F127" s="929"/>
      <c r="G127" s="929"/>
      <c r="H127" s="929"/>
      <c r="I127" s="929"/>
      <c r="J127" s="929"/>
      <c r="K127" s="929"/>
      <c r="L127" s="929"/>
      <c r="M127" s="929"/>
    </row>
    <row r="128" spans="1:13" ht="18" x14ac:dyDescent="0.2">
      <c r="A128" s="693">
        <v>124</v>
      </c>
      <c r="B128" s="316" t="str">
        <f t="shared" si="2"/>
        <v>Sheet "B_EmInst" - Installation's emission at source stream and emission source level</v>
      </c>
      <c r="C128" s="316" t="s">
        <v>3170</v>
      </c>
      <c r="D128" s="931"/>
      <c r="E128" s="931"/>
      <c r="F128" s="931"/>
      <c r="G128" s="931"/>
      <c r="H128" s="931"/>
      <c r="I128" s="931"/>
      <c r="J128" s="931"/>
      <c r="K128" s="931"/>
      <c r="L128" s="931"/>
      <c r="M128" s="931"/>
    </row>
    <row r="129" spans="1:13" ht="12.75" x14ac:dyDescent="0.2">
      <c r="A129" s="693">
        <v>125</v>
      </c>
      <c r="B129" s="31" t="str">
        <f t="shared" si="2"/>
        <v>Source streams and emission sources</v>
      </c>
      <c r="C129" s="31" t="s">
        <v>3171</v>
      </c>
      <c r="D129" s="968"/>
      <c r="E129" s="968"/>
      <c r="F129" s="968"/>
      <c r="G129" s="968"/>
      <c r="H129" s="968"/>
      <c r="I129" s="968"/>
      <c r="J129" s="968"/>
      <c r="K129" s="968"/>
      <c r="L129" s="968"/>
      <c r="M129" s="968"/>
    </row>
    <row r="130" spans="1:13" ht="16.5" thickBot="1" x14ac:dyDescent="0.3">
      <c r="A130" s="693">
        <v>126</v>
      </c>
      <c r="B130" s="15" t="str">
        <f t="shared" si="2"/>
        <v>Source Streams (excluding PFC emissions)</v>
      </c>
      <c r="C130" s="15" t="s">
        <v>3172</v>
      </c>
      <c r="D130" s="969"/>
      <c r="E130" s="969"/>
      <c r="F130" s="969"/>
      <c r="G130" s="969"/>
      <c r="H130" s="969"/>
      <c r="I130" s="969"/>
      <c r="J130" s="969"/>
      <c r="K130" s="969"/>
      <c r="L130" s="969"/>
      <c r="M130" s="969"/>
    </row>
    <row r="131" spans="1:13" ht="13.5" thickBot="1" x14ac:dyDescent="0.25">
      <c r="A131" s="693">
        <v>127</v>
      </c>
      <c r="B131" s="719" t="str">
        <f t="shared" si="2"/>
        <v>#</v>
      </c>
      <c r="C131" s="719" t="s">
        <v>3173</v>
      </c>
      <c r="D131" s="970"/>
      <c r="E131" s="970"/>
      <c r="F131" s="970"/>
      <c r="G131" s="970"/>
      <c r="H131" s="970"/>
      <c r="I131" s="970"/>
      <c r="J131" s="970"/>
      <c r="K131" s="970"/>
      <c r="L131" s="970"/>
      <c r="M131" s="970"/>
    </row>
    <row r="132" spans="1:13" ht="13.5" thickBot="1" x14ac:dyDescent="0.25">
      <c r="A132" s="693">
        <v>128</v>
      </c>
      <c r="B132" s="720" t="str">
        <f t="shared" si="2"/>
        <v>Method</v>
      </c>
      <c r="C132" s="720" t="s">
        <v>3174</v>
      </c>
      <c r="D132" s="971"/>
      <c r="E132" s="971"/>
      <c r="F132" s="971"/>
      <c r="G132" s="971"/>
      <c r="H132" s="971"/>
      <c r="I132" s="971"/>
      <c r="J132" s="971"/>
      <c r="K132" s="971"/>
      <c r="L132" s="971"/>
      <c r="M132" s="971"/>
    </row>
    <row r="133" spans="1:13" ht="13.5" thickBot="1" x14ac:dyDescent="0.25">
      <c r="A133" s="693">
        <v>129</v>
      </c>
      <c r="B133" s="720" t="str">
        <f t="shared" si="2"/>
        <v>Source stream name</v>
      </c>
      <c r="C133" s="720" t="s">
        <v>3175</v>
      </c>
      <c r="D133" s="971"/>
      <c r="E133" s="971"/>
      <c r="F133" s="971"/>
      <c r="G133" s="971"/>
      <c r="H133" s="971"/>
      <c r="I133" s="971"/>
      <c r="J133" s="971"/>
      <c r="K133" s="971"/>
      <c r="L133" s="971"/>
      <c r="M133" s="971"/>
    </row>
    <row r="134" spans="1:13" ht="13.5" thickBot="1" x14ac:dyDescent="0.25">
      <c r="A134" s="693">
        <v>130</v>
      </c>
      <c r="B134" s="720" t="str">
        <f t="shared" si="2"/>
        <v>Activity data (AD)</v>
      </c>
      <c r="C134" s="720" t="s">
        <v>3176</v>
      </c>
      <c r="D134" s="971"/>
      <c r="E134" s="971"/>
      <c r="F134" s="971"/>
      <c r="G134" s="971"/>
      <c r="H134" s="971"/>
      <c r="I134" s="971"/>
      <c r="J134" s="971"/>
      <c r="K134" s="971"/>
      <c r="L134" s="971"/>
      <c r="M134" s="971"/>
    </row>
    <row r="135" spans="1:13" ht="13.5" thickBot="1" x14ac:dyDescent="0.25">
      <c r="A135" s="693">
        <v>131</v>
      </c>
      <c r="B135" s="720" t="str">
        <f t="shared" si="2"/>
        <v>AD Unit</v>
      </c>
      <c r="C135" s="720" t="s">
        <v>3177</v>
      </c>
      <c r="D135" s="971"/>
      <c r="E135" s="971"/>
      <c r="F135" s="971"/>
      <c r="G135" s="971"/>
      <c r="H135" s="971"/>
      <c r="I135" s="971"/>
      <c r="J135" s="971"/>
      <c r="K135" s="971"/>
      <c r="L135" s="971"/>
      <c r="M135" s="971"/>
    </row>
    <row r="136" spans="1:13" ht="13.5" thickBot="1" x14ac:dyDescent="0.25">
      <c r="A136" s="693">
        <v>132</v>
      </c>
      <c r="B136" s="720" t="str">
        <f t="shared" si="2"/>
        <v>Net calorific value (NCV)</v>
      </c>
      <c r="C136" s="720" t="s">
        <v>3178</v>
      </c>
      <c r="D136" s="971"/>
      <c r="E136" s="971"/>
      <c r="F136" s="971"/>
      <c r="G136" s="971"/>
      <c r="H136" s="971"/>
      <c r="I136" s="971"/>
      <c r="J136" s="971"/>
      <c r="K136" s="971"/>
      <c r="L136" s="971"/>
      <c r="M136" s="971"/>
    </row>
    <row r="137" spans="1:13" ht="13.5" thickBot="1" x14ac:dyDescent="0.25">
      <c r="A137" s="693">
        <v>133</v>
      </c>
      <c r="B137" s="720" t="str">
        <f t="shared" si="2"/>
        <v>NCV Unit</v>
      </c>
      <c r="C137" s="720" t="s">
        <v>3179</v>
      </c>
      <c r="D137" s="971"/>
      <c r="E137" s="971"/>
      <c r="F137" s="971"/>
      <c r="G137" s="971"/>
      <c r="H137" s="971"/>
      <c r="I137" s="971"/>
      <c r="J137" s="971"/>
      <c r="K137" s="971"/>
      <c r="L137" s="971"/>
      <c r="M137" s="971"/>
    </row>
    <row r="138" spans="1:13" ht="13.5" thickBot="1" x14ac:dyDescent="0.25">
      <c r="A138" s="693">
        <v>134</v>
      </c>
      <c r="B138" s="720" t="str">
        <f t="shared" si="2"/>
        <v>Emission factor (EF)</v>
      </c>
      <c r="C138" s="720" t="s">
        <v>3180</v>
      </c>
      <c r="D138" s="971"/>
      <c r="E138" s="971"/>
      <c r="F138" s="971"/>
      <c r="G138" s="971"/>
      <c r="H138" s="971"/>
      <c r="I138" s="971"/>
      <c r="J138" s="971"/>
      <c r="K138" s="971"/>
      <c r="L138" s="971"/>
      <c r="M138" s="971"/>
    </row>
    <row r="139" spans="1:13" ht="13.5" thickBot="1" x14ac:dyDescent="0.25">
      <c r="A139" s="693">
        <v>135</v>
      </c>
      <c r="B139" s="720" t="str">
        <f t="shared" ref="B139:B202" si="3">IFERROR(INDEX(C139:M139,$A$4-2),$C139)</f>
        <v>EF Unit</v>
      </c>
      <c r="C139" s="720" t="s">
        <v>3181</v>
      </c>
      <c r="D139" s="971"/>
      <c r="E139" s="971"/>
      <c r="F139" s="971"/>
      <c r="G139" s="971"/>
      <c r="H139" s="971"/>
      <c r="I139" s="971"/>
      <c r="J139" s="971"/>
      <c r="K139" s="971"/>
      <c r="L139" s="971"/>
      <c r="M139" s="971"/>
    </row>
    <row r="140" spans="1:13" ht="13.5" thickBot="1" x14ac:dyDescent="0.25">
      <c r="A140" s="693">
        <v>136</v>
      </c>
      <c r="B140" s="720" t="str">
        <f t="shared" si="3"/>
        <v>Carbon content</v>
      </c>
      <c r="C140" s="720" t="s">
        <v>3182</v>
      </c>
      <c r="D140" s="971"/>
      <c r="E140" s="971"/>
      <c r="F140" s="971"/>
      <c r="G140" s="971"/>
      <c r="H140" s="971"/>
      <c r="I140" s="971"/>
      <c r="J140" s="971"/>
      <c r="K140" s="971"/>
      <c r="L140" s="971"/>
      <c r="M140" s="971"/>
    </row>
    <row r="141" spans="1:13" ht="13.5" thickBot="1" x14ac:dyDescent="0.25">
      <c r="A141" s="693">
        <v>137</v>
      </c>
      <c r="B141" s="720" t="str">
        <f t="shared" si="3"/>
        <v>C-Content Unit</v>
      </c>
      <c r="C141" s="720" t="s">
        <v>3183</v>
      </c>
      <c r="D141" s="971"/>
      <c r="E141" s="971"/>
      <c r="F141" s="971"/>
      <c r="G141" s="971"/>
      <c r="H141" s="971"/>
      <c r="I141" s="971"/>
      <c r="J141" s="971"/>
      <c r="K141" s="971"/>
      <c r="L141" s="971"/>
      <c r="M141" s="971"/>
    </row>
    <row r="142" spans="1:13" ht="13.5" thickBot="1" x14ac:dyDescent="0.25">
      <c r="A142" s="693">
        <v>138</v>
      </c>
      <c r="B142" s="720" t="str">
        <f t="shared" si="3"/>
        <v>Oxidation factor (OxF)</v>
      </c>
      <c r="C142" s="720" t="s">
        <v>3184</v>
      </c>
      <c r="D142" s="971"/>
      <c r="E142" s="971"/>
      <c r="F142" s="971"/>
      <c r="G142" s="971"/>
      <c r="H142" s="971"/>
      <c r="I142" s="971"/>
      <c r="J142" s="971"/>
      <c r="K142" s="971"/>
      <c r="L142" s="971"/>
      <c r="M142" s="971"/>
    </row>
    <row r="143" spans="1:13" ht="13.5" thickBot="1" x14ac:dyDescent="0.25">
      <c r="A143" s="693">
        <v>139</v>
      </c>
      <c r="B143" s="720" t="str">
        <f t="shared" si="3"/>
        <v>OxF Unit</v>
      </c>
      <c r="C143" s="720" t="s">
        <v>3185</v>
      </c>
      <c r="D143" s="971"/>
      <c r="E143" s="971"/>
      <c r="F143" s="971"/>
      <c r="G143" s="971"/>
      <c r="H143" s="971"/>
      <c r="I143" s="971"/>
      <c r="J143" s="971"/>
      <c r="K143" s="971"/>
      <c r="L143" s="971"/>
      <c r="M143" s="971"/>
    </row>
    <row r="144" spans="1:13" ht="13.5" thickBot="1" x14ac:dyDescent="0.25">
      <c r="A144" s="693">
        <v>140</v>
      </c>
      <c r="B144" s="720" t="str">
        <f t="shared" si="3"/>
        <v>Conversion factor (ConvF)</v>
      </c>
      <c r="C144" s="720" t="s">
        <v>3186</v>
      </c>
      <c r="D144" s="971"/>
      <c r="E144" s="971"/>
      <c r="F144" s="971"/>
      <c r="G144" s="971"/>
      <c r="H144" s="971"/>
      <c r="I144" s="971"/>
      <c r="J144" s="971"/>
      <c r="K144" s="971"/>
      <c r="L144" s="971"/>
      <c r="M144" s="971"/>
    </row>
    <row r="145" spans="1:13" ht="13.5" thickBot="1" x14ac:dyDescent="0.25">
      <c r="A145" s="693">
        <v>141</v>
      </c>
      <c r="B145" s="720" t="str">
        <f t="shared" si="3"/>
        <v>ConvF Unit</v>
      </c>
      <c r="C145" s="720" t="s">
        <v>3187</v>
      </c>
      <c r="D145" s="971"/>
      <c r="E145" s="971"/>
      <c r="F145" s="971"/>
      <c r="G145" s="971"/>
      <c r="H145" s="971"/>
      <c r="I145" s="971"/>
      <c r="J145" s="971"/>
      <c r="K145" s="971"/>
      <c r="L145" s="971"/>
      <c r="M145" s="971"/>
    </row>
    <row r="146" spans="1:13" ht="13.5" thickBot="1" x14ac:dyDescent="0.25">
      <c r="A146" s="693">
        <v>142</v>
      </c>
      <c r="B146" s="720" t="str">
        <f t="shared" si="3"/>
        <v>Biomass content (BioC)</v>
      </c>
      <c r="C146" s="720" t="s">
        <v>3188</v>
      </c>
      <c r="D146" s="971"/>
      <c r="E146" s="971"/>
      <c r="F146" s="971"/>
      <c r="G146" s="971"/>
      <c r="H146" s="971"/>
      <c r="I146" s="971"/>
      <c r="J146" s="971"/>
      <c r="K146" s="971"/>
      <c r="L146" s="971"/>
      <c r="M146" s="971"/>
    </row>
    <row r="147" spans="1:13" ht="13.5" thickBot="1" x14ac:dyDescent="0.25">
      <c r="A147" s="693">
        <v>143</v>
      </c>
      <c r="B147" s="720" t="str">
        <f t="shared" si="3"/>
        <v>BioC Unit</v>
      </c>
      <c r="C147" s="720" t="s">
        <v>3189</v>
      </c>
      <c r="D147" s="971"/>
      <c r="E147" s="971"/>
      <c r="F147" s="971"/>
      <c r="G147" s="971"/>
      <c r="H147" s="971"/>
      <c r="I147" s="971"/>
      <c r="J147" s="971"/>
      <c r="K147" s="971"/>
      <c r="L147" s="971"/>
      <c r="M147" s="971"/>
    </row>
    <row r="148" spans="1:13" ht="13.5" thickBot="1" x14ac:dyDescent="0.25">
      <c r="A148" s="693">
        <v>144</v>
      </c>
      <c r="B148" s="763" t="str">
        <f t="shared" si="3"/>
        <v>non-sust. BioC</v>
      </c>
      <c r="C148" s="763" t="s">
        <v>3190</v>
      </c>
      <c r="D148" s="972"/>
      <c r="E148" s="972"/>
      <c r="F148" s="972"/>
      <c r="G148" s="972"/>
      <c r="H148" s="972"/>
      <c r="I148" s="972"/>
      <c r="J148" s="972"/>
      <c r="K148" s="972"/>
      <c r="L148" s="972"/>
      <c r="M148" s="972"/>
    </row>
    <row r="149" spans="1:13" ht="13.5" thickBot="1" x14ac:dyDescent="0.25">
      <c r="A149" s="693">
        <v>145</v>
      </c>
      <c r="B149" s="763" t="str">
        <f t="shared" si="3"/>
        <v>non-sust. BioC Unit</v>
      </c>
      <c r="C149" s="763" t="s">
        <v>3191</v>
      </c>
      <c r="D149" s="972"/>
      <c r="E149" s="972"/>
      <c r="F149" s="972"/>
      <c r="G149" s="972"/>
      <c r="H149" s="972"/>
      <c r="I149" s="972"/>
      <c r="J149" s="972"/>
      <c r="K149" s="972"/>
      <c r="L149" s="972"/>
      <c r="M149" s="972"/>
    </row>
    <row r="150" spans="1:13" ht="13.5" thickBot="1" x14ac:dyDescent="0.25">
      <c r="A150" s="693">
        <v>146</v>
      </c>
      <c r="B150" s="720" t="str">
        <f t="shared" si="3"/>
        <v>hourly GHG conc. Average</v>
      </c>
      <c r="C150" s="720" t="s">
        <v>3192</v>
      </c>
      <c r="D150" s="971"/>
      <c r="E150" s="971"/>
      <c r="F150" s="971"/>
      <c r="G150" s="971"/>
      <c r="H150" s="971"/>
      <c r="I150" s="971"/>
      <c r="J150" s="971"/>
      <c r="K150" s="971"/>
      <c r="L150" s="971"/>
      <c r="M150" s="971"/>
    </row>
    <row r="151" spans="1:13" ht="13.5" thickBot="1" x14ac:dyDescent="0.25">
      <c r="A151" s="693">
        <v>147</v>
      </c>
      <c r="B151" s="720" t="str">
        <f t="shared" si="3"/>
        <v>hourly GHG conc. Unit</v>
      </c>
      <c r="C151" s="720" t="s">
        <v>3193</v>
      </c>
      <c r="D151" s="971"/>
      <c r="E151" s="971"/>
      <c r="F151" s="971"/>
      <c r="G151" s="971"/>
      <c r="H151" s="971"/>
      <c r="I151" s="971"/>
      <c r="J151" s="971"/>
      <c r="K151" s="971"/>
      <c r="L151" s="971"/>
      <c r="M151" s="971"/>
    </row>
    <row r="152" spans="1:13" ht="13.5" thickBot="1" x14ac:dyDescent="0.25">
      <c r="A152" s="693">
        <v>148</v>
      </c>
      <c r="B152" s="720" t="str">
        <f t="shared" si="3"/>
        <v>hours operating</v>
      </c>
      <c r="C152" s="720" t="s">
        <v>3194</v>
      </c>
      <c r="D152" s="971"/>
      <c r="E152" s="971"/>
      <c r="F152" s="971"/>
      <c r="G152" s="971"/>
      <c r="H152" s="971"/>
      <c r="I152" s="971"/>
      <c r="J152" s="971"/>
      <c r="K152" s="971"/>
      <c r="L152" s="971"/>
      <c r="M152" s="971"/>
    </row>
    <row r="153" spans="1:13" ht="13.5" thickBot="1" x14ac:dyDescent="0.25">
      <c r="A153" s="693">
        <v>149</v>
      </c>
      <c r="B153" s="720" t="str">
        <f t="shared" si="3"/>
        <v>hours operating Unit</v>
      </c>
      <c r="C153" s="720" t="s">
        <v>3195</v>
      </c>
      <c r="D153" s="971"/>
      <c r="E153" s="971"/>
      <c r="F153" s="971"/>
      <c r="G153" s="971"/>
      <c r="H153" s="971"/>
      <c r="I153" s="971"/>
      <c r="J153" s="971"/>
      <c r="K153" s="971"/>
      <c r="L153" s="971"/>
      <c r="M153" s="971"/>
    </row>
    <row r="154" spans="1:13" ht="13.5" thickBot="1" x14ac:dyDescent="0.25">
      <c r="A154" s="693">
        <v>150</v>
      </c>
      <c r="B154" s="720" t="str">
        <f t="shared" si="3"/>
        <v>Flue gas (average)</v>
      </c>
      <c r="C154" s="720" t="s">
        <v>3196</v>
      </c>
      <c r="D154" s="971"/>
      <c r="E154" s="971"/>
      <c r="F154" s="971"/>
      <c r="G154" s="971"/>
      <c r="H154" s="971"/>
      <c r="I154" s="971"/>
      <c r="J154" s="971"/>
      <c r="K154" s="971"/>
      <c r="L154" s="971"/>
      <c r="M154" s="971"/>
    </row>
    <row r="155" spans="1:13" ht="13.5" thickBot="1" x14ac:dyDescent="0.25">
      <c r="A155" s="693">
        <v>151</v>
      </c>
      <c r="B155" s="720" t="str">
        <f t="shared" si="3"/>
        <v>Flue gas (average), Unit</v>
      </c>
      <c r="C155" s="720" t="s">
        <v>3197</v>
      </c>
      <c r="D155" s="971"/>
      <c r="E155" s="971"/>
      <c r="F155" s="971"/>
      <c r="G155" s="971"/>
      <c r="H155" s="971"/>
      <c r="I155" s="971"/>
      <c r="J155" s="971"/>
      <c r="K155" s="971"/>
      <c r="L155" s="971"/>
      <c r="M155" s="971"/>
    </row>
    <row r="156" spans="1:13" ht="13.5" thickBot="1" x14ac:dyDescent="0.25">
      <c r="A156" s="693">
        <v>152</v>
      </c>
      <c r="B156" s="763" t="str">
        <f t="shared" si="3"/>
        <v>Flue gas (total)</v>
      </c>
      <c r="C156" s="763" t="s">
        <v>3198</v>
      </c>
      <c r="D156" s="972"/>
      <c r="E156" s="972"/>
      <c r="F156" s="972"/>
      <c r="G156" s="972"/>
      <c r="H156" s="972"/>
      <c r="I156" s="972"/>
      <c r="J156" s="972"/>
      <c r="K156" s="972"/>
      <c r="L156" s="972"/>
      <c r="M156" s="972"/>
    </row>
    <row r="157" spans="1:13" ht="13.5" thickBot="1" x14ac:dyDescent="0.25">
      <c r="A157" s="693">
        <v>153</v>
      </c>
      <c r="B157" s="763" t="str">
        <f t="shared" si="3"/>
        <v>Flue gas (total), Unit</v>
      </c>
      <c r="C157" s="763" t="s">
        <v>3199</v>
      </c>
      <c r="D157" s="972"/>
      <c r="E157" s="972"/>
      <c r="F157" s="972"/>
      <c r="G157" s="972"/>
      <c r="H157" s="972"/>
      <c r="I157" s="972"/>
      <c r="J157" s="972"/>
      <c r="K157" s="972"/>
      <c r="L157" s="972"/>
      <c r="M157" s="972"/>
    </row>
    <row r="158" spans="1:13" ht="13.5" thickBot="1" x14ac:dyDescent="0.25">
      <c r="A158" s="693">
        <v>154</v>
      </c>
      <c r="B158" s="720" t="str">
        <f t="shared" si="3"/>
        <v>Annual amount of GHG</v>
      </c>
      <c r="C158" s="720" t="s">
        <v>3200</v>
      </c>
      <c r="D158" s="971"/>
      <c r="E158" s="971"/>
      <c r="F158" s="971"/>
      <c r="G158" s="971"/>
      <c r="H158" s="971"/>
      <c r="I158" s="971"/>
      <c r="J158" s="971"/>
      <c r="K158" s="971"/>
      <c r="L158" s="971"/>
      <c r="M158" s="971"/>
    </row>
    <row r="159" spans="1:13" ht="13.5" thickBot="1" x14ac:dyDescent="0.25">
      <c r="A159" s="693">
        <v>155</v>
      </c>
      <c r="B159" s="720" t="str">
        <f t="shared" si="3"/>
        <v>Annual amount of GHG Unit</v>
      </c>
      <c r="C159" s="720" t="s">
        <v>3201</v>
      </c>
      <c r="D159" s="971"/>
      <c r="E159" s="971"/>
      <c r="F159" s="971"/>
      <c r="G159" s="971"/>
      <c r="H159" s="971"/>
      <c r="I159" s="971"/>
      <c r="J159" s="971"/>
      <c r="K159" s="971"/>
      <c r="L159" s="971"/>
      <c r="M159" s="971"/>
    </row>
    <row r="160" spans="1:13" ht="13.5" thickBot="1" x14ac:dyDescent="0.25">
      <c r="A160" s="693">
        <v>156</v>
      </c>
      <c r="B160" s="720" t="str">
        <f t="shared" si="3"/>
        <v>Global Warming Potential (GWP, tCO2e/t)</v>
      </c>
      <c r="C160" s="720" t="s">
        <v>3202</v>
      </c>
      <c r="D160" s="971"/>
      <c r="E160" s="971"/>
      <c r="F160" s="971"/>
      <c r="G160" s="971"/>
      <c r="H160" s="971"/>
      <c r="I160" s="971"/>
      <c r="J160" s="971"/>
      <c r="K160" s="971"/>
      <c r="L160" s="971"/>
      <c r="M160" s="971"/>
    </row>
    <row r="161" spans="1:13" ht="13.5" thickBot="1" x14ac:dyDescent="0.25">
      <c r="A161" s="693">
        <v>157</v>
      </c>
      <c r="B161" s="720" t="str">
        <f t="shared" si="3"/>
        <v>A: Frequency</v>
      </c>
      <c r="C161" s="720" t="s">
        <v>3203</v>
      </c>
      <c r="D161" s="971"/>
      <c r="E161" s="971"/>
      <c r="F161" s="971"/>
      <c r="G161" s="971"/>
      <c r="H161" s="971"/>
      <c r="I161" s="971"/>
      <c r="J161" s="971"/>
      <c r="K161" s="971"/>
      <c r="L161" s="971"/>
      <c r="M161" s="971"/>
    </row>
    <row r="162" spans="1:13" ht="13.5" thickBot="1" x14ac:dyDescent="0.25">
      <c r="A162" s="693">
        <v>158</v>
      </c>
      <c r="B162" s="720" t="str">
        <f t="shared" si="3"/>
        <v>A: Duration</v>
      </c>
      <c r="C162" s="720" t="s">
        <v>3204</v>
      </c>
      <c r="D162" s="971"/>
      <c r="E162" s="971"/>
      <c r="F162" s="971"/>
      <c r="G162" s="971"/>
      <c r="H162" s="971"/>
      <c r="I162" s="971"/>
      <c r="J162" s="971"/>
      <c r="K162" s="971"/>
      <c r="L162" s="971"/>
      <c r="M162" s="971"/>
    </row>
    <row r="163" spans="1:13" ht="13.5" thickBot="1" x14ac:dyDescent="0.25">
      <c r="A163" s="693">
        <v>159</v>
      </c>
      <c r="B163" s="720" t="str">
        <f t="shared" si="3"/>
        <v>A: SEF(CF4)</v>
      </c>
      <c r="C163" s="720" t="s">
        <v>3205</v>
      </c>
      <c r="D163" s="971"/>
      <c r="E163" s="971"/>
      <c r="F163" s="971"/>
      <c r="G163" s="971"/>
      <c r="H163" s="971"/>
      <c r="I163" s="971"/>
      <c r="J163" s="971"/>
      <c r="K163" s="971"/>
      <c r="L163" s="971"/>
      <c r="M163" s="971"/>
    </row>
    <row r="164" spans="1:13" ht="13.5" thickBot="1" x14ac:dyDescent="0.25">
      <c r="A164" s="693">
        <v>160</v>
      </c>
      <c r="B164" s="720" t="str">
        <f t="shared" si="3"/>
        <v>B: AEO</v>
      </c>
      <c r="C164" s="720" t="s">
        <v>3206</v>
      </c>
      <c r="D164" s="971"/>
      <c r="E164" s="971"/>
      <c r="F164" s="971"/>
      <c r="G164" s="971"/>
      <c r="H164" s="971"/>
      <c r="I164" s="971"/>
      <c r="J164" s="971"/>
      <c r="K164" s="971"/>
      <c r="L164" s="971"/>
      <c r="M164" s="971"/>
    </row>
    <row r="165" spans="1:13" ht="13.5" thickBot="1" x14ac:dyDescent="0.25">
      <c r="A165" s="693">
        <v>161</v>
      </c>
      <c r="B165" s="720" t="str">
        <f t="shared" si="3"/>
        <v>B: CE</v>
      </c>
      <c r="C165" s="720" t="s">
        <v>3207</v>
      </c>
      <c r="D165" s="971"/>
      <c r="E165" s="971"/>
      <c r="F165" s="971"/>
      <c r="G165" s="971"/>
      <c r="H165" s="971"/>
      <c r="I165" s="971"/>
      <c r="J165" s="971"/>
      <c r="K165" s="971"/>
      <c r="L165" s="971"/>
      <c r="M165" s="971"/>
    </row>
    <row r="166" spans="1:13" ht="13.5" thickBot="1" x14ac:dyDescent="0.25">
      <c r="A166" s="693">
        <v>162</v>
      </c>
      <c r="B166" s="720" t="str">
        <f t="shared" si="3"/>
        <v>B: OVC</v>
      </c>
      <c r="C166" s="720" t="s">
        <v>3208</v>
      </c>
      <c r="D166" s="971"/>
      <c r="E166" s="971"/>
      <c r="F166" s="971"/>
      <c r="G166" s="971"/>
      <c r="H166" s="971"/>
      <c r="I166" s="971"/>
      <c r="J166" s="971"/>
      <c r="K166" s="971"/>
      <c r="L166" s="971"/>
      <c r="M166" s="971"/>
    </row>
    <row r="167" spans="1:13" ht="13.5" thickBot="1" x14ac:dyDescent="0.25">
      <c r="A167" s="693">
        <v>163</v>
      </c>
      <c r="B167" s="720" t="str">
        <f t="shared" si="3"/>
        <v>F(C2F6)</v>
      </c>
      <c r="C167" s="720" t="s">
        <v>3209</v>
      </c>
      <c r="D167" s="971"/>
      <c r="E167" s="971"/>
      <c r="F167" s="971"/>
      <c r="G167" s="971"/>
      <c r="H167" s="971"/>
      <c r="I167" s="971"/>
      <c r="J167" s="971"/>
      <c r="K167" s="971"/>
      <c r="L167" s="971"/>
      <c r="M167" s="971"/>
    </row>
    <row r="168" spans="1:13" ht="13.5" thickBot="1" x14ac:dyDescent="0.25">
      <c r="A168" s="693">
        <v>164</v>
      </c>
      <c r="B168" s="720" t="str">
        <f t="shared" si="3"/>
        <v>CF4 Emissions (t CF4)</v>
      </c>
      <c r="C168" s="720" t="s">
        <v>3210</v>
      </c>
      <c r="D168" s="971"/>
      <c r="E168" s="971"/>
      <c r="F168" s="971"/>
      <c r="G168" s="971"/>
      <c r="H168" s="971"/>
      <c r="I168" s="971"/>
      <c r="J168" s="971"/>
      <c r="K168" s="971"/>
      <c r="L168" s="971"/>
      <c r="M168" s="971"/>
    </row>
    <row r="169" spans="1:13" ht="13.5" thickBot="1" x14ac:dyDescent="0.25">
      <c r="A169" s="693">
        <v>165</v>
      </c>
      <c r="B169" s="720" t="str">
        <f t="shared" si="3"/>
        <v>C2F6 Emissions (t C2F6)</v>
      </c>
      <c r="C169" s="720" t="s">
        <v>3211</v>
      </c>
      <c r="D169" s="971"/>
      <c r="E169" s="971"/>
      <c r="F169" s="971"/>
      <c r="G169" s="971"/>
      <c r="H169" s="971"/>
      <c r="I169" s="971"/>
      <c r="J169" s="971"/>
      <c r="K169" s="971"/>
      <c r="L169" s="971"/>
      <c r="M169" s="971"/>
    </row>
    <row r="170" spans="1:13" ht="13.5" thickBot="1" x14ac:dyDescent="0.25">
      <c r="A170" s="693">
        <v>166</v>
      </c>
      <c r="B170" s="720" t="str">
        <f t="shared" si="3"/>
        <v>GWP (CF4) (tCO2e/t)</v>
      </c>
      <c r="C170" s="720" t="s">
        <v>3212</v>
      </c>
      <c r="D170" s="971"/>
      <c r="E170" s="971"/>
      <c r="F170" s="971"/>
      <c r="G170" s="971"/>
      <c r="H170" s="971"/>
      <c r="I170" s="971"/>
      <c r="J170" s="971"/>
      <c r="K170" s="971"/>
      <c r="L170" s="971"/>
      <c r="M170" s="971"/>
    </row>
    <row r="171" spans="1:13" ht="13.5" thickBot="1" x14ac:dyDescent="0.25">
      <c r="A171" s="693">
        <v>167</v>
      </c>
      <c r="B171" s="720" t="str">
        <f t="shared" si="3"/>
        <v>GWP (C2F6) (tCO2e/t)</v>
      </c>
      <c r="C171" s="720" t="s">
        <v>3213</v>
      </c>
      <c r="D171" s="971"/>
      <c r="E171" s="971"/>
      <c r="F171" s="971"/>
      <c r="G171" s="971"/>
      <c r="H171" s="971"/>
      <c r="I171" s="971"/>
      <c r="J171" s="971"/>
      <c r="K171" s="971"/>
      <c r="L171" s="971"/>
      <c r="M171" s="971"/>
    </row>
    <row r="172" spans="1:13" ht="13.5" thickBot="1" x14ac:dyDescent="0.25">
      <c r="A172" s="693">
        <v>168</v>
      </c>
      <c r="B172" s="720" t="str">
        <f t="shared" si="3"/>
        <v>CF4 Emissions (t CO2e)</v>
      </c>
      <c r="C172" s="720" t="s">
        <v>3214</v>
      </c>
      <c r="D172" s="971"/>
      <c r="E172" s="971"/>
      <c r="F172" s="971"/>
      <c r="G172" s="971"/>
      <c r="H172" s="971"/>
      <c r="I172" s="971"/>
      <c r="J172" s="971"/>
      <c r="K172" s="971"/>
      <c r="L172" s="971"/>
      <c r="M172" s="971"/>
    </row>
    <row r="173" spans="1:13" ht="13.5" thickBot="1" x14ac:dyDescent="0.25">
      <c r="A173" s="693">
        <v>169</v>
      </c>
      <c r="B173" s="720" t="str">
        <f t="shared" si="3"/>
        <v>C2F6 Emissions (t CO2e)</v>
      </c>
      <c r="C173" s="720" t="s">
        <v>3215</v>
      </c>
      <c r="D173" s="971"/>
      <c r="E173" s="971"/>
      <c r="F173" s="971"/>
      <c r="G173" s="971"/>
      <c r="H173" s="971"/>
      <c r="I173" s="971"/>
      <c r="J173" s="971"/>
      <c r="K173" s="971"/>
      <c r="L173" s="971"/>
      <c r="M173" s="971"/>
    </row>
    <row r="174" spans="1:13" ht="13.5" thickBot="1" x14ac:dyDescent="0.25">
      <c r="A174" s="693">
        <v>170</v>
      </c>
      <c r="B174" s="720" t="str">
        <f t="shared" si="3"/>
        <v>Collection efficiency, %</v>
      </c>
      <c r="C174" s="720" t="s">
        <v>3216</v>
      </c>
      <c r="D174" s="971"/>
      <c r="E174" s="971"/>
      <c r="F174" s="971"/>
      <c r="G174" s="971"/>
      <c r="H174" s="971"/>
      <c r="I174" s="971"/>
      <c r="J174" s="971"/>
      <c r="K174" s="971"/>
      <c r="L174" s="971"/>
      <c r="M174" s="971"/>
    </row>
    <row r="175" spans="1:13" ht="13.5" thickBot="1" x14ac:dyDescent="0.25">
      <c r="A175" s="693">
        <v>171</v>
      </c>
      <c r="B175" s="720" t="str">
        <f t="shared" si="3"/>
        <v>CO2e fossil (t)</v>
      </c>
      <c r="C175" s="720" t="s">
        <v>3217</v>
      </c>
      <c r="D175" s="971"/>
      <c r="E175" s="971"/>
      <c r="F175" s="971"/>
      <c r="G175" s="971"/>
      <c r="H175" s="971"/>
      <c r="I175" s="971"/>
      <c r="J175" s="971"/>
      <c r="K175" s="971"/>
      <c r="L175" s="971"/>
      <c r="M175" s="971"/>
    </row>
    <row r="176" spans="1:13" ht="13.5" thickBot="1" x14ac:dyDescent="0.25">
      <c r="A176" s="693">
        <v>172</v>
      </c>
      <c r="B176" s="720" t="str">
        <f t="shared" si="3"/>
        <v>CO2e bio (t)</v>
      </c>
      <c r="C176" s="720" t="s">
        <v>3218</v>
      </c>
      <c r="D176" s="971"/>
      <c r="E176" s="971"/>
      <c r="F176" s="971"/>
      <c r="G176" s="971"/>
      <c r="H176" s="971"/>
      <c r="I176" s="971"/>
      <c r="J176" s="971"/>
      <c r="K176" s="971"/>
      <c r="L176" s="971"/>
      <c r="M176" s="971"/>
    </row>
    <row r="177" spans="1:13" ht="13.5" thickBot="1" x14ac:dyDescent="0.25">
      <c r="A177" s="693">
        <v>173</v>
      </c>
      <c r="B177" s="763" t="str">
        <f t="shared" si="3"/>
        <v>CO2e non-sust. bio (t)</v>
      </c>
      <c r="C177" s="763" t="s">
        <v>3219</v>
      </c>
      <c r="D177" s="972"/>
      <c r="E177" s="972"/>
      <c r="F177" s="972"/>
      <c r="G177" s="972"/>
      <c r="H177" s="972"/>
      <c r="I177" s="972"/>
      <c r="J177" s="972"/>
      <c r="K177" s="972"/>
      <c r="L177" s="972"/>
      <c r="M177" s="972"/>
    </row>
    <row r="178" spans="1:13" ht="13.5" thickBot="1" x14ac:dyDescent="0.25">
      <c r="A178" s="693">
        <v>174</v>
      </c>
      <c r="B178" s="720" t="str">
        <f t="shared" si="3"/>
        <v>Energy content (fossil), TJ</v>
      </c>
      <c r="C178" s="720" t="s">
        <v>3220</v>
      </c>
      <c r="D178" s="971"/>
      <c r="E178" s="971"/>
      <c r="F178" s="971"/>
      <c r="G178" s="971"/>
      <c r="H178" s="971"/>
      <c r="I178" s="971"/>
      <c r="J178" s="971"/>
      <c r="K178" s="971"/>
      <c r="L178" s="971"/>
      <c r="M178" s="971"/>
    </row>
    <row r="179" spans="1:13" ht="13.5" thickBot="1" x14ac:dyDescent="0.25">
      <c r="A179" s="693">
        <v>175</v>
      </c>
      <c r="B179" s="764" t="str">
        <f t="shared" si="3"/>
        <v>Energy content (bio), TJ</v>
      </c>
      <c r="C179" s="764" t="s">
        <v>3221</v>
      </c>
      <c r="D179" s="973"/>
      <c r="E179" s="973"/>
      <c r="F179" s="973"/>
      <c r="G179" s="973"/>
      <c r="H179" s="973"/>
      <c r="I179" s="973"/>
      <c r="J179" s="973"/>
      <c r="K179" s="973"/>
      <c r="L179" s="973"/>
      <c r="M179" s="973"/>
    </row>
    <row r="180" spans="1:13" ht="13.5" thickBot="1" x14ac:dyDescent="0.25">
      <c r="A180" s="693">
        <v>176</v>
      </c>
      <c r="B180" s="721" t="str">
        <f t="shared" si="3"/>
        <v>Ex.1</v>
      </c>
      <c r="C180" s="721" t="s">
        <v>3222</v>
      </c>
      <c r="D180" s="974"/>
      <c r="E180" s="974"/>
      <c r="F180" s="974"/>
      <c r="G180" s="974"/>
      <c r="H180" s="974"/>
      <c r="I180" s="974"/>
      <c r="J180" s="974"/>
      <c r="K180" s="974"/>
      <c r="L180" s="974"/>
      <c r="M180" s="974"/>
    </row>
    <row r="181" spans="1:13" ht="13.5" thickBot="1" x14ac:dyDescent="0.25">
      <c r="A181" s="693">
        <v>177</v>
      </c>
      <c r="B181" s="722" t="str">
        <f t="shared" si="3"/>
        <v>Combustion</v>
      </c>
      <c r="C181" s="722" t="s">
        <v>3223</v>
      </c>
      <c r="D181" s="975"/>
      <c r="E181" s="975"/>
      <c r="F181" s="975"/>
      <c r="G181" s="975"/>
      <c r="H181" s="975"/>
      <c r="I181" s="975"/>
      <c r="J181" s="975"/>
      <c r="K181" s="975"/>
      <c r="L181" s="975"/>
      <c r="M181" s="975"/>
    </row>
    <row r="182" spans="1:13" ht="13.5" thickBot="1" x14ac:dyDescent="0.25">
      <c r="A182" s="693">
        <v>178</v>
      </c>
      <c r="B182" s="722" t="str">
        <f t="shared" si="3"/>
        <v>Heavy fuel oil</v>
      </c>
      <c r="C182" s="722" t="s">
        <v>3224</v>
      </c>
      <c r="D182" s="975"/>
      <c r="E182" s="975"/>
      <c r="F182" s="975"/>
      <c r="G182" s="975"/>
      <c r="H182" s="975"/>
      <c r="I182" s="975"/>
      <c r="J182" s="975"/>
      <c r="K182" s="975"/>
      <c r="L182" s="975"/>
      <c r="M182" s="975"/>
    </row>
    <row r="183" spans="1:13" ht="13.5" thickBot="1" x14ac:dyDescent="0.25">
      <c r="A183" s="693">
        <v>179</v>
      </c>
      <c r="B183" s="722" t="str">
        <f t="shared" si="3"/>
        <v>GJ/t</v>
      </c>
      <c r="C183" s="722" t="s">
        <v>3225</v>
      </c>
      <c r="D183" s="975"/>
      <c r="E183" s="975"/>
      <c r="F183" s="975"/>
      <c r="G183" s="975"/>
      <c r="H183" s="975"/>
      <c r="I183" s="975"/>
      <c r="J183" s="975"/>
      <c r="K183" s="975"/>
      <c r="L183" s="975"/>
      <c r="M183" s="975"/>
    </row>
    <row r="184" spans="1:13" ht="12.75" x14ac:dyDescent="0.2">
      <c r="A184" s="693">
        <v>180</v>
      </c>
      <c r="B184" s="722" t="str">
        <f t="shared" si="3"/>
        <v>tCO2/TJ</v>
      </c>
      <c r="C184" s="722" t="s">
        <v>3226</v>
      </c>
      <c r="D184" s="975"/>
      <c r="E184" s="975"/>
      <c r="F184" s="975"/>
      <c r="G184" s="975"/>
      <c r="H184" s="975"/>
      <c r="I184" s="975"/>
      <c r="J184" s="975"/>
      <c r="K184" s="975"/>
      <c r="L184" s="975"/>
      <c r="M184" s="975"/>
    </row>
    <row r="185" spans="1:13" ht="12.75" x14ac:dyDescent="0.2">
      <c r="A185" s="693">
        <v>181</v>
      </c>
      <c r="B185" s="723" t="str">
        <f t="shared" si="3"/>
        <v>Ex.2</v>
      </c>
      <c r="C185" s="723" t="s">
        <v>3227</v>
      </c>
      <c r="D185" s="976"/>
      <c r="E185" s="976"/>
      <c r="F185" s="976"/>
      <c r="G185" s="976"/>
      <c r="H185" s="976"/>
      <c r="I185" s="976"/>
      <c r="J185" s="976"/>
      <c r="K185" s="976"/>
      <c r="L185" s="976"/>
      <c r="M185" s="976"/>
    </row>
    <row r="186" spans="1:13" ht="12.75" x14ac:dyDescent="0.2">
      <c r="A186" s="693">
        <v>182</v>
      </c>
      <c r="B186" s="724" t="str">
        <f t="shared" si="3"/>
        <v>Process Emissions</v>
      </c>
      <c r="C186" s="724" t="s">
        <v>3228</v>
      </c>
      <c r="D186" s="977"/>
      <c r="E186" s="977"/>
      <c r="F186" s="977"/>
      <c r="G186" s="977"/>
      <c r="H186" s="977"/>
      <c r="I186" s="977"/>
      <c r="J186" s="977"/>
      <c r="K186" s="977"/>
      <c r="L186" s="977"/>
      <c r="M186" s="977"/>
    </row>
    <row r="187" spans="1:13" ht="12.75" x14ac:dyDescent="0.2">
      <c r="A187" s="693">
        <v>183</v>
      </c>
      <c r="B187" s="724" t="str">
        <f t="shared" si="3"/>
        <v>Raw meal for clinker</v>
      </c>
      <c r="C187" s="724" t="s">
        <v>3229</v>
      </c>
      <c r="D187" s="977"/>
      <c r="E187" s="977"/>
      <c r="F187" s="977"/>
      <c r="G187" s="977"/>
      <c r="H187" s="977"/>
      <c r="I187" s="977"/>
      <c r="J187" s="977"/>
      <c r="K187" s="977"/>
      <c r="L187" s="977"/>
      <c r="M187" s="977"/>
    </row>
    <row r="188" spans="1:13" ht="12.75" x14ac:dyDescent="0.2">
      <c r="A188" s="693">
        <v>184</v>
      </c>
      <c r="B188" s="724" t="str">
        <f t="shared" si="3"/>
        <v>tCO2/t</v>
      </c>
      <c r="C188" s="724" t="s">
        <v>3230</v>
      </c>
      <c r="D188" s="977"/>
      <c r="E188" s="977"/>
      <c r="F188" s="977"/>
      <c r="G188" s="977"/>
      <c r="H188" s="977"/>
      <c r="I188" s="977"/>
      <c r="J188" s="977"/>
      <c r="K188" s="977"/>
      <c r="L188" s="977"/>
      <c r="M188" s="977"/>
    </row>
    <row r="189" spans="1:13" ht="12.75" x14ac:dyDescent="0.2">
      <c r="A189" s="693">
        <v>185</v>
      </c>
      <c r="B189" s="725" t="str">
        <f t="shared" si="3"/>
        <v>Ex.3</v>
      </c>
      <c r="C189" s="725" t="s">
        <v>3231</v>
      </c>
      <c r="D189" s="978"/>
      <c r="E189" s="978"/>
      <c r="F189" s="978"/>
      <c r="G189" s="978"/>
      <c r="H189" s="978"/>
      <c r="I189" s="978"/>
      <c r="J189" s="978"/>
      <c r="K189" s="978"/>
      <c r="L189" s="978"/>
      <c r="M189" s="978"/>
    </row>
    <row r="190" spans="1:13" ht="12.75" x14ac:dyDescent="0.2">
      <c r="A190" s="693">
        <v>186</v>
      </c>
      <c r="B190" s="726" t="str">
        <f t="shared" si="3"/>
        <v>Mass balance</v>
      </c>
      <c r="C190" s="726" t="s">
        <v>3232</v>
      </c>
      <c r="D190" s="979"/>
      <c r="E190" s="979"/>
      <c r="F190" s="979"/>
      <c r="G190" s="979"/>
      <c r="H190" s="979"/>
      <c r="I190" s="979"/>
      <c r="J190" s="979"/>
      <c r="K190" s="979"/>
      <c r="L190" s="979"/>
      <c r="M190" s="979"/>
    </row>
    <row r="191" spans="1:13" ht="12.75" x14ac:dyDescent="0.2">
      <c r="A191" s="693">
        <v>187</v>
      </c>
      <c r="B191" s="726" t="str">
        <f t="shared" si="3"/>
        <v>Steel</v>
      </c>
      <c r="C191" s="726" t="s">
        <v>3233</v>
      </c>
      <c r="D191" s="979"/>
      <c r="E191" s="979"/>
      <c r="F191" s="979"/>
      <c r="G191" s="979"/>
      <c r="H191" s="979"/>
      <c r="I191" s="979"/>
      <c r="J191" s="979"/>
      <c r="K191" s="979"/>
      <c r="L191" s="979"/>
      <c r="M191" s="979"/>
    </row>
    <row r="192" spans="1:13" ht="12.75" x14ac:dyDescent="0.2">
      <c r="A192" s="693">
        <v>188</v>
      </c>
      <c r="B192" s="726" t="str">
        <f t="shared" si="3"/>
        <v>tC/t</v>
      </c>
      <c r="C192" s="726" t="s">
        <v>3234</v>
      </c>
      <c r="D192" s="979"/>
      <c r="E192" s="979"/>
      <c r="F192" s="979"/>
      <c r="G192" s="979"/>
      <c r="H192" s="979"/>
      <c r="I192" s="979"/>
      <c r="J192" s="979"/>
      <c r="K192" s="979"/>
      <c r="L192" s="979"/>
      <c r="M192" s="979"/>
    </row>
    <row r="193" spans="1:13" ht="12.75" x14ac:dyDescent="0.2">
      <c r="A193" s="693">
        <v>189</v>
      </c>
      <c r="B193" s="173" t="str">
        <f t="shared" si="3"/>
        <v>Process</v>
      </c>
      <c r="C193" s="173" t="s">
        <v>3235</v>
      </c>
      <c r="D193" s="980"/>
      <c r="E193" s="980"/>
      <c r="F193" s="980"/>
      <c r="G193" s="980"/>
      <c r="H193" s="980"/>
      <c r="I193" s="980"/>
      <c r="J193" s="980"/>
      <c r="K193" s="980"/>
      <c r="L193" s="980"/>
      <c r="M193" s="980"/>
    </row>
    <row r="194" spans="1:13" ht="12.75" x14ac:dyDescent="0.2">
      <c r="A194" s="693">
        <v>190</v>
      </c>
      <c r="B194" s="173" t="str">
        <f t="shared" si="3"/>
        <v>Mass Balance</v>
      </c>
      <c r="C194" s="173" t="s">
        <v>3236</v>
      </c>
      <c r="D194" s="980"/>
      <c r="E194" s="980"/>
      <c r="F194" s="980"/>
      <c r="G194" s="980"/>
      <c r="H194" s="980"/>
      <c r="I194" s="980"/>
      <c r="J194" s="980"/>
      <c r="K194" s="980"/>
      <c r="L194" s="980"/>
      <c r="M194" s="980"/>
    </row>
    <row r="195" spans="1:13" ht="12.75" x14ac:dyDescent="0.2">
      <c r="A195" s="693">
        <v>191</v>
      </c>
      <c r="B195" s="173" t="str">
        <f t="shared" si="3"/>
        <v>CC</v>
      </c>
      <c r="C195" s="173" t="s">
        <v>107</v>
      </c>
      <c r="D195" s="980"/>
      <c r="E195" s="980"/>
      <c r="F195" s="980"/>
      <c r="G195" s="980"/>
      <c r="H195" s="980"/>
      <c r="I195" s="980"/>
      <c r="J195" s="980"/>
      <c r="K195" s="980"/>
      <c r="L195" s="980"/>
      <c r="M195" s="980"/>
    </row>
    <row r="196" spans="1:13" ht="12.75" x14ac:dyDescent="0.2">
      <c r="A196" s="693">
        <v>192</v>
      </c>
      <c r="B196" s="173" t="str">
        <f t="shared" si="3"/>
        <v>OxF</v>
      </c>
      <c r="C196" s="173" t="s">
        <v>3237</v>
      </c>
      <c r="D196" s="980"/>
      <c r="E196" s="980"/>
      <c r="F196" s="980"/>
      <c r="G196" s="980"/>
      <c r="H196" s="980"/>
      <c r="I196" s="980"/>
      <c r="J196" s="980"/>
      <c r="K196" s="980"/>
      <c r="L196" s="980"/>
      <c r="M196" s="980"/>
    </row>
    <row r="197" spans="1:13" ht="12.75" x14ac:dyDescent="0.2">
      <c r="A197" s="693">
        <v>193</v>
      </c>
      <c r="B197" s="173" t="str">
        <f t="shared" si="3"/>
        <v>ConvF</v>
      </c>
      <c r="C197" s="173" t="s">
        <v>3238</v>
      </c>
      <c r="D197" s="980"/>
      <c r="E197" s="980"/>
      <c r="F197" s="980"/>
      <c r="G197" s="980"/>
      <c r="H197" s="980"/>
      <c r="I197" s="980"/>
      <c r="J197" s="980"/>
      <c r="K197" s="980"/>
      <c r="L197" s="980"/>
      <c r="M197" s="980"/>
    </row>
    <row r="198" spans="1:13" ht="16.5" thickBot="1" x14ac:dyDescent="0.3">
      <c r="A198" s="693">
        <v>194</v>
      </c>
      <c r="B198" s="15" t="str">
        <f t="shared" si="3"/>
        <v>PFC Emissions</v>
      </c>
      <c r="C198" s="15" t="s">
        <v>3239</v>
      </c>
      <c r="D198" s="969"/>
      <c r="E198" s="969"/>
      <c r="F198" s="969"/>
      <c r="G198" s="969"/>
      <c r="H198" s="969"/>
      <c r="I198" s="969"/>
      <c r="J198" s="969"/>
      <c r="K198" s="969"/>
      <c r="L198" s="969"/>
      <c r="M198" s="969"/>
    </row>
    <row r="199" spans="1:13" ht="13.5" thickBot="1" x14ac:dyDescent="0.25">
      <c r="A199" s="693">
        <v>195</v>
      </c>
      <c r="B199" s="720" t="str">
        <f t="shared" si="3"/>
        <v>Type of anode</v>
      </c>
      <c r="C199" s="720" t="s">
        <v>3240</v>
      </c>
      <c r="D199" s="971"/>
      <c r="E199" s="971"/>
      <c r="F199" s="971"/>
      <c r="G199" s="971"/>
      <c r="H199" s="971"/>
      <c r="I199" s="971"/>
      <c r="J199" s="971"/>
      <c r="K199" s="971"/>
      <c r="L199" s="971"/>
      <c r="M199" s="971"/>
    </row>
    <row r="200" spans="1:13" ht="12.75" x14ac:dyDescent="0.2">
      <c r="A200" s="693">
        <v>196</v>
      </c>
      <c r="B200" s="727" t="str">
        <f t="shared" si="3"/>
        <v>Method A</v>
      </c>
      <c r="C200" s="727" t="s">
        <v>3241</v>
      </c>
      <c r="D200" s="981"/>
      <c r="E200" s="981"/>
      <c r="F200" s="981"/>
      <c r="G200" s="981"/>
      <c r="H200" s="981"/>
      <c r="I200" s="981"/>
      <c r="J200" s="981"/>
      <c r="K200" s="981"/>
      <c r="L200" s="981"/>
      <c r="M200" s="981"/>
    </row>
    <row r="201" spans="1:13" ht="12.75" x14ac:dyDescent="0.2">
      <c r="A201" s="693">
        <v>197</v>
      </c>
      <c r="B201" s="727" t="str">
        <f t="shared" si="3"/>
        <v>Method B</v>
      </c>
      <c r="C201" s="727" t="s">
        <v>3242</v>
      </c>
      <c r="D201" s="981"/>
      <c r="E201" s="981"/>
      <c r="F201" s="981"/>
      <c r="G201" s="981"/>
      <c r="H201" s="981"/>
      <c r="I201" s="981"/>
      <c r="J201" s="981"/>
      <c r="K201" s="981"/>
      <c r="L201" s="981"/>
      <c r="M201" s="981"/>
    </row>
    <row r="202" spans="1:13" ht="12.75" x14ac:dyDescent="0.2">
      <c r="A202" s="693">
        <v>198</v>
      </c>
      <c r="B202" s="728" t="str">
        <f t="shared" si="3"/>
        <v>Ex.</v>
      </c>
      <c r="C202" s="728" t="s">
        <v>3243</v>
      </c>
      <c r="D202" s="982"/>
      <c r="E202" s="982"/>
      <c r="F202" s="982"/>
      <c r="G202" s="982"/>
      <c r="H202" s="982"/>
      <c r="I202" s="982"/>
      <c r="J202" s="982"/>
      <c r="K202" s="982"/>
      <c r="L202" s="982"/>
      <c r="M202" s="982"/>
    </row>
    <row r="203" spans="1:13" ht="12.75" x14ac:dyDescent="0.2">
      <c r="A203" s="693">
        <v>199</v>
      </c>
      <c r="B203" s="729" t="str">
        <f t="shared" ref="B203:B266" si="4">IFERROR(INDEX(C203:M203,$A$4-2),$C203)</f>
        <v>Overvoltage method</v>
      </c>
      <c r="C203" s="729" t="s">
        <v>3244</v>
      </c>
      <c r="D203" s="983"/>
      <c r="E203" s="983"/>
      <c r="F203" s="983"/>
      <c r="G203" s="983"/>
      <c r="H203" s="983"/>
      <c r="I203" s="983"/>
      <c r="J203" s="983"/>
      <c r="K203" s="983"/>
      <c r="L203" s="983"/>
      <c r="M203" s="983"/>
    </row>
    <row r="204" spans="1:13" ht="12.75" x14ac:dyDescent="0.2">
      <c r="A204" s="693">
        <v>200</v>
      </c>
      <c r="B204" s="729" t="str">
        <f t="shared" si="4"/>
        <v>Centre Worked Pre-Bake (CWPB)</v>
      </c>
      <c r="C204" s="729" t="s">
        <v>3245</v>
      </c>
      <c r="D204" s="983"/>
      <c r="E204" s="983"/>
      <c r="F204" s="983"/>
      <c r="G204" s="983"/>
      <c r="H204" s="983"/>
      <c r="I204" s="983"/>
      <c r="J204" s="983"/>
      <c r="K204" s="983"/>
      <c r="L204" s="983"/>
      <c r="M204" s="983"/>
    </row>
    <row r="205" spans="1:13" ht="12.75" x14ac:dyDescent="0.2">
      <c r="A205" s="693">
        <v>201</v>
      </c>
      <c r="B205" s="173" t="str">
        <f t="shared" si="4"/>
        <v>CF4</v>
      </c>
      <c r="C205" s="173" t="s">
        <v>3246</v>
      </c>
      <c r="D205" s="980"/>
      <c r="E205" s="980"/>
      <c r="F205" s="980"/>
      <c r="G205" s="980"/>
      <c r="H205" s="980"/>
      <c r="I205" s="980"/>
      <c r="J205" s="980"/>
      <c r="K205" s="980"/>
      <c r="L205" s="980"/>
      <c r="M205" s="980"/>
    </row>
    <row r="206" spans="1:13" ht="12.75" x14ac:dyDescent="0.2">
      <c r="A206" s="693">
        <v>202</v>
      </c>
      <c r="B206" s="173" t="str">
        <f t="shared" si="4"/>
        <v>C2F6</v>
      </c>
      <c r="C206" s="173" t="s">
        <v>3247</v>
      </c>
      <c r="D206" s="980"/>
      <c r="E206" s="980"/>
      <c r="F206" s="980"/>
      <c r="G206" s="980"/>
      <c r="H206" s="980"/>
      <c r="I206" s="980"/>
      <c r="J206" s="980"/>
      <c r="K206" s="980"/>
      <c r="L206" s="980"/>
      <c r="M206" s="980"/>
    </row>
    <row r="207" spans="1:13" ht="15.75" x14ac:dyDescent="0.25">
      <c r="A207" s="693">
        <v>203</v>
      </c>
      <c r="B207" s="15" t="str">
        <f t="shared" si="4"/>
        <v>Emissions Sources (Measurement-Based Approaches)</v>
      </c>
      <c r="C207" s="15" t="s">
        <v>3248</v>
      </c>
      <c r="D207" s="969"/>
      <c r="E207" s="969"/>
      <c r="F207" s="969"/>
      <c r="G207" s="969"/>
      <c r="H207" s="969"/>
      <c r="I207" s="969"/>
      <c r="J207" s="969"/>
      <c r="K207" s="969"/>
      <c r="L207" s="969"/>
      <c r="M207" s="969"/>
    </row>
    <row r="208" spans="1:13" ht="13.5" thickBot="1" x14ac:dyDescent="0.25">
      <c r="A208" s="693">
        <v>204</v>
      </c>
      <c r="B208" s="162" t="str">
        <f t="shared" si="4"/>
        <v>Emission sources</v>
      </c>
      <c r="C208" s="162" t="s">
        <v>3249</v>
      </c>
      <c r="D208" s="940"/>
      <c r="E208" s="940"/>
      <c r="F208" s="940"/>
      <c r="G208" s="940"/>
      <c r="H208" s="940"/>
      <c r="I208" s="940"/>
      <c r="J208" s="940"/>
      <c r="K208" s="940"/>
      <c r="L208" s="940"/>
      <c r="M208" s="940"/>
    </row>
    <row r="209" spans="1:13" ht="13.5" thickBot="1" x14ac:dyDescent="0.25">
      <c r="A209" s="693">
        <v>205</v>
      </c>
      <c r="B209" s="720" t="str">
        <f t="shared" si="4"/>
        <v>Type of GHG</v>
      </c>
      <c r="C209" s="720" t="s">
        <v>3250</v>
      </c>
      <c r="D209" s="971"/>
      <c r="E209" s="971"/>
      <c r="F209" s="971"/>
      <c r="G209" s="971"/>
      <c r="H209" s="971"/>
      <c r="I209" s="971"/>
      <c r="J209" s="971"/>
      <c r="K209" s="971"/>
      <c r="L209" s="971"/>
      <c r="M209" s="971"/>
    </row>
    <row r="210" spans="1:13" ht="13.5" thickBot="1" x14ac:dyDescent="0.25">
      <c r="A210" s="693">
        <v>206</v>
      </c>
      <c r="B210" s="720" t="str">
        <f t="shared" si="4"/>
        <v>Biomass fraction</v>
      </c>
      <c r="C210" s="720" t="s">
        <v>3251</v>
      </c>
      <c r="D210" s="971"/>
      <c r="E210" s="971"/>
      <c r="F210" s="971"/>
      <c r="G210" s="971"/>
      <c r="H210" s="971"/>
      <c r="I210" s="971"/>
      <c r="J210" s="971"/>
      <c r="K210" s="971"/>
      <c r="L210" s="971"/>
      <c r="M210" s="971"/>
    </row>
    <row r="211" spans="1:13" ht="13.5" thickBot="1" x14ac:dyDescent="0.25">
      <c r="A211" s="693">
        <v>207</v>
      </c>
      <c r="B211" s="729" t="str">
        <f t="shared" si="4"/>
        <v>CO2 transfer</v>
      </c>
      <c r="C211" s="729" t="s">
        <v>3252</v>
      </c>
      <c r="D211" s="983"/>
      <c r="E211" s="983"/>
      <c r="F211" s="983"/>
      <c r="G211" s="983"/>
      <c r="H211" s="983"/>
      <c r="I211" s="983"/>
      <c r="J211" s="983"/>
      <c r="K211" s="983"/>
      <c r="L211" s="983"/>
      <c r="M211" s="983"/>
    </row>
    <row r="212" spans="1:13" ht="12.75" x14ac:dyDescent="0.2">
      <c r="A212" s="693">
        <v>208</v>
      </c>
      <c r="B212" s="754" t="str">
        <f t="shared" si="4"/>
        <v>Energy &amp; Emissions</v>
      </c>
      <c r="C212" s="754" t="s">
        <v>3253</v>
      </c>
      <c r="D212" s="929"/>
      <c r="E212" s="929"/>
      <c r="F212" s="929"/>
      <c r="G212" s="929"/>
      <c r="H212" s="929"/>
      <c r="I212" s="929"/>
      <c r="J212" s="929"/>
      <c r="K212" s="929"/>
      <c r="L212" s="929"/>
      <c r="M212" s="929"/>
    </row>
    <row r="213" spans="1:13" ht="18" x14ac:dyDescent="0.2">
      <c r="A213" s="693">
        <v>209</v>
      </c>
      <c r="B213" s="316" t="str">
        <f t="shared" si="4"/>
        <v>Sheet "C_Emissions&amp;Energy" - Installation-level GHG emissions and energy consumption</v>
      </c>
      <c r="C213" s="316" t="s">
        <v>3254</v>
      </c>
      <c r="D213" s="931"/>
      <c r="E213" s="931"/>
      <c r="F213" s="931"/>
      <c r="G213" s="931"/>
      <c r="H213" s="931"/>
      <c r="I213" s="931"/>
      <c r="J213" s="931"/>
      <c r="K213" s="931"/>
      <c r="L213" s="931"/>
      <c r="M213" s="931"/>
    </row>
    <row r="214" spans="1:13" ht="12.75" x14ac:dyDescent="0.2">
      <c r="A214" s="693">
        <v>210</v>
      </c>
      <c r="B214" s="162" t="str">
        <f t="shared" si="4"/>
        <v>Values</v>
      </c>
      <c r="C214" s="162" t="s">
        <v>3255</v>
      </c>
      <c r="D214" s="940"/>
      <c r="E214" s="940"/>
      <c r="F214" s="940"/>
      <c r="G214" s="940"/>
      <c r="H214" s="940"/>
      <c r="I214" s="940"/>
      <c r="J214" s="940"/>
      <c r="K214" s="940"/>
      <c r="L214" s="940"/>
      <c r="M214" s="940"/>
    </row>
    <row r="215" spans="1:13" ht="15.75" x14ac:dyDescent="0.2">
      <c r="A215" s="693">
        <v>211</v>
      </c>
      <c r="B215" s="315" t="str">
        <f t="shared" si="4"/>
        <v>Fuel balance</v>
      </c>
      <c r="C215" s="315" t="s">
        <v>3256</v>
      </c>
      <c r="D215" s="939"/>
      <c r="E215" s="939"/>
      <c r="F215" s="939"/>
      <c r="G215" s="939"/>
      <c r="H215" s="939"/>
      <c r="I215" s="939"/>
      <c r="J215" s="939"/>
      <c r="K215" s="939"/>
      <c r="L215" s="939"/>
      <c r="M215" s="939"/>
    </row>
    <row r="216" spans="1:13" x14ac:dyDescent="0.2">
      <c r="A216" s="693">
        <v>212</v>
      </c>
      <c r="B216" s="893" t="str">
        <f t="shared" si="4"/>
        <v>Please enter in the table below the amount of energy consumed for each use type:</v>
      </c>
      <c r="C216" s="893" t="s">
        <v>3257</v>
      </c>
      <c r="D216" s="984"/>
      <c r="E216" s="984"/>
      <c r="F216" s="984"/>
      <c r="G216" s="984"/>
      <c r="H216" s="984"/>
      <c r="I216" s="984"/>
      <c r="J216" s="984"/>
      <c r="K216" s="984"/>
      <c r="L216" s="984"/>
      <c r="M216" s="984"/>
    </row>
    <row r="217" spans="1:13" x14ac:dyDescent="0.2">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3258</v>
      </c>
      <c r="D217" s="984"/>
      <c r="E217" s="984"/>
      <c r="F217" s="984"/>
      <c r="G217" s="984"/>
      <c r="H217" s="984"/>
      <c r="I217" s="984"/>
      <c r="J217" s="984"/>
      <c r="K217" s="984"/>
      <c r="L217" s="984"/>
      <c r="M217" s="984"/>
    </row>
    <row r="218" spans="1:13" x14ac:dyDescent="0.2">
      <c r="A218" s="693">
        <v>214</v>
      </c>
      <c r="B218" s="893" t="str">
        <f t="shared" si="4"/>
        <v>Fuel input for electricity production</v>
      </c>
      <c r="C218" s="893" t="s">
        <v>3259</v>
      </c>
      <c r="D218" s="984"/>
      <c r="E218" s="984"/>
      <c r="F218" s="984"/>
      <c r="G218" s="984"/>
      <c r="H218" s="984"/>
      <c r="I218" s="984"/>
      <c r="J218" s="984"/>
      <c r="K218" s="984"/>
      <c r="L218" s="984"/>
      <c r="M218" s="984"/>
    </row>
    <row r="219" spans="1:13" x14ac:dyDescent="0.2">
      <c r="A219" s="693">
        <v>215</v>
      </c>
      <c r="B219" s="893" t="str">
        <f t="shared" si="4"/>
        <v>Fuel input to all non-CBAM production processes, either directly or via the production of measurable heat (e.g. steam).</v>
      </c>
      <c r="C219" s="893" t="s">
        <v>3260</v>
      </c>
      <c r="D219" s="984"/>
      <c r="E219" s="984"/>
      <c r="F219" s="984"/>
      <c r="G219" s="984"/>
      <c r="H219" s="984"/>
      <c r="I219" s="984"/>
      <c r="J219" s="984"/>
      <c r="K219" s="984"/>
      <c r="L219" s="984"/>
      <c r="M219" s="984"/>
    </row>
    <row r="220" spans="1:13" ht="12.75" x14ac:dyDescent="0.2">
      <c r="A220" s="693">
        <v>216</v>
      </c>
      <c r="B220" s="717" t="str">
        <f t="shared" si="4"/>
        <v>Fuel balance:</v>
      </c>
      <c r="C220" s="717" t="s">
        <v>3261</v>
      </c>
      <c r="D220" s="963"/>
      <c r="E220" s="963"/>
      <c r="F220" s="963"/>
      <c r="G220" s="963"/>
      <c r="H220" s="963"/>
      <c r="I220" s="963"/>
      <c r="J220" s="963"/>
      <c r="K220" s="963"/>
      <c r="L220" s="963"/>
      <c r="M220" s="963"/>
    </row>
    <row r="221" spans="1:13" ht="12.75" x14ac:dyDescent="0.2">
      <c r="A221" s="693">
        <v>217</v>
      </c>
      <c r="B221" s="750" t="str">
        <f t="shared" si="4"/>
        <v>Unit</v>
      </c>
      <c r="C221" s="750" t="s">
        <v>1397</v>
      </c>
      <c r="D221" s="985"/>
      <c r="E221" s="985"/>
      <c r="F221" s="985"/>
      <c r="G221" s="985"/>
      <c r="H221" s="985"/>
      <c r="I221" s="985"/>
      <c r="J221" s="985"/>
      <c r="K221" s="985"/>
      <c r="L221" s="985"/>
      <c r="M221" s="985"/>
    </row>
    <row r="222" spans="1:13" ht="12.75" x14ac:dyDescent="0.2">
      <c r="A222" s="693">
        <v>218</v>
      </c>
      <c r="B222" s="750" t="str">
        <f t="shared" si="4"/>
        <v>Total fuel input</v>
      </c>
      <c r="C222" s="750" t="s">
        <v>3262</v>
      </c>
      <c r="D222" s="985"/>
      <c r="E222" s="985"/>
      <c r="F222" s="985"/>
      <c r="G222" s="985"/>
      <c r="H222" s="985"/>
      <c r="I222" s="985"/>
      <c r="J222" s="985"/>
      <c r="K222" s="985"/>
      <c r="L222" s="985"/>
      <c r="M222" s="985"/>
    </row>
    <row r="223" spans="1:13" ht="12.75" x14ac:dyDescent="0.2">
      <c r="A223" s="693">
        <v>219</v>
      </c>
      <c r="B223" s="750" t="str">
        <f t="shared" si="4"/>
        <v>Direct fuel for CBAM goods</v>
      </c>
      <c r="C223" s="750" t="s">
        <v>3263</v>
      </c>
      <c r="D223" s="985"/>
      <c r="E223" s="985"/>
      <c r="F223" s="985"/>
      <c r="G223" s="985"/>
      <c r="H223" s="985"/>
      <c r="I223" s="985"/>
      <c r="J223" s="985"/>
      <c r="K223" s="985"/>
      <c r="L223" s="985"/>
      <c r="M223" s="985"/>
    </row>
    <row r="224" spans="1:13" ht="12.75" x14ac:dyDescent="0.2">
      <c r="A224" s="693">
        <v>220</v>
      </c>
      <c r="B224" s="750" t="str">
        <f t="shared" si="4"/>
        <v>Fuel for electricity</v>
      </c>
      <c r="C224" s="750" t="s">
        <v>3264</v>
      </c>
      <c r="D224" s="985"/>
      <c r="E224" s="985"/>
      <c r="F224" s="985"/>
      <c r="G224" s="985"/>
      <c r="H224" s="985"/>
      <c r="I224" s="985"/>
      <c r="J224" s="985"/>
      <c r="K224" s="985"/>
      <c r="L224" s="985"/>
      <c r="M224" s="985"/>
    </row>
    <row r="225" spans="1:13" ht="12.75" x14ac:dyDescent="0.2">
      <c r="A225" s="693">
        <v>221</v>
      </c>
      <c r="B225" s="750" t="str">
        <f t="shared" si="4"/>
        <v>Direct fuel for non-CBAM goods</v>
      </c>
      <c r="C225" s="750" t="s">
        <v>3265</v>
      </c>
      <c r="D225" s="985"/>
      <c r="E225" s="985"/>
      <c r="F225" s="985"/>
      <c r="G225" s="985"/>
      <c r="H225" s="985"/>
      <c r="I225" s="985"/>
      <c r="J225" s="985"/>
      <c r="K225" s="985"/>
      <c r="L225" s="985"/>
      <c r="M225" s="985"/>
    </row>
    <row r="226" spans="1:13" ht="12.75" x14ac:dyDescent="0.2">
      <c r="A226" s="693">
        <v>222</v>
      </c>
      <c r="B226" s="750" t="str">
        <f t="shared" si="4"/>
        <v>Rest</v>
      </c>
      <c r="C226" s="750" t="s">
        <v>3266</v>
      </c>
      <c r="D226" s="985"/>
      <c r="E226" s="985"/>
      <c r="F226" s="985"/>
      <c r="G226" s="985"/>
      <c r="H226" s="985"/>
      <c r="I226" s="985"/>
      <c r="J226" s="985"/>
      <c r="K226" s="985"/>
      <c r="L226" s="985"/>
      <c r="M226" s="985"/>
    </row>
    <row r="227" spans="1:13" ht="12.75" x14ac:dyDescent="0.2">
      <c r="A227" s="693">
        <v>223</v>
      </c>
      <c r="B227" s="681" t="str">
        <f t="shared" si="4"/>
        <v>from sheet "B_EmInst"</v>
      </c>
      <c r="C227" s="681" t="s">
        <v>3267</v>
      </c>
      <c r="D227" s="986"/>
      <c r="E227" s="986"/>
      <c r="F227" s="986"/>
      <c r="G227" s="986"/>
      <c r="H227" s="986"/>
      <c r="I227" s="986"/>
      <c r="J227" s="986"/>
      <c r="K227" s="986"/>
      <c r="L227" s="986"/>
      <c r="M227" s="986"/>
    </row>
    <row r="228" spans="1:13" ht="12.75" x14ac:dyDescent="0.2">
      <c r="A228" s="693">
        <v>224</v>
      </c>
      <c r="B228" s="684" t="str">
        <f t="shared" si="4"/>
        <v>manual entries</v>
      </c>
      <c r="C228" s="684" t="s">
        <v>3268</v>
      </c>
      <c r="D228" s="987"/>
      <c r="E228" s="987"/>
      <c r="F228" s="987"/>
      <c r="G228" s="987"/>
      <c r="H228" s="987"/>
      <c r="I228" s="987"/>
      <c r="J228" s="987"/>
      <c r="K228" s="987"/>
      <c r="L228" s="987"/>
      <c r="M228" s="987"/>
    </row>
    <row r="229" spans="1:13" ht="12.75" x14ac:dyDescent="0.2">
      <c r="A229" s="693">
        <v>225</v>
      </c>
      <c r="B229" s="730" t="str">
        <f t="shared" si="4"/>
        <v>Results:</v>
      </c>
      <c r="C229" s="730" t="s">
        <v>3269</v>
      </c>
      <c r="D229" s="988"/>
      <c r="E229" s="988"/>
      <c r="F229" s="988"/>
      <c r="G229" s="988"/>
      <c r="H229" s="988"/>
      <c r="I229" s="988"/>
      <c r="J229" s="988"/>
      <c r="K229" s="988"/>
      <c r="L229" s="988"/>
      <c r="M229" s="988"/>
    </row>
    <row r="230" spans="1:13" ht="15.75" x14ac:dyDescent="0.2">
      <c r="A230" s="693">
        <v>226</v>
      </c>
      <c r="B230" s="315" t="str">
        <f t="shared" si="4"/>
        <v>Greenhouse gas emissions balance &amp; information on data quality</v>
      </c>
      <c r="C230" s="315" t="s">
        <v>3270</v>
      </c>
      <c r="D230" s="939"/>
      <c r="E230" s="939"/>
      <c r="F230" s="939"/>
      <c r="G230" s="939"/>
      <c r="H230" s="939"/>
      <c r="I230" s="939"/>
      <c r="J230" s="939"/>
      <c r="K230" s="939"/>
      <c r="L230" s="939"/>
      <c r="M230" s="939"/>
    </row>
    <row r="231" spans="1:13" x14ac:dyDescent="0.2">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3271</v>
      </c>
      <c r="D231" s="984"/>
      <c r="E231" s="984"/>
      <c r="F231" s="984"/>
      <c r="G231" s="984"/>
      <c r="H231" s="984"/>
      <c r="I231" s="984"/>
      <c r="J231" s="984"/>
      <c r="K231" s="984"/>
      <c r="L231" s="984"/>
      <c r="M231" s="984"/>
    </row>
    <row r="232" spans="1:13" ht="12.75" x14ac:dyDescent="0.2">
      <c r="A232" s="693">
        <v>228</v>
      </c>
      <c r="B232" s="717" t="str">
        <f t="shared" si="4"/>
        <v>Installation level data:</v>
      </c>
      <c r="C232" s="717" t="s">
        <v>3272</v>
      </c>
      <c r="D232" s="963"/>
      <c r="E232" s="963"/>
      <c r="F232" s="963"/>
      <c r="G232" s="963"/>
      <c r="H232" s="963"/>
      <c r="I232" s="963"/>
      <c r="J232" s="963"/>
      <c r="K232" s="963"/>
      <c r="L232" s="963"/>
      <c r="M232" s="963"/>
    </row>
    <row r="233" spans="1:13" ht="12.75" x14ac:dyDescent="0.2">
      <c r="A233" s="693">
        <v>229</v>
      </c>
      <c r="B233" s="750" t="str">
        <f t="shared" si="4"/>
        <v>Total CO2 emissions</v>
      </c>
      <c r="C233" s="750" t="s">
        <v>3273</v>
      </c>
      <c r="D233" s="985"/>
      <c r="E233" s="985"/>
      <c r="F233" s="985"/>
      <c r="G233" s="985"/>
      <c r="H233" s="985"/>
      <c r="I233" s="985"/>
      <c r="J233" s="985"/>
      <c r="K233" s="985"/>
      <c r="L233" s="985"/>
      <c r="M233" s="985"/>
    </row>
    <row r="234" spans="1:13" ht="12.75" x14ac:dyDescent="0.2">
      <c r="A234" s="693">
        <v>230</v>
      </c>
      <c r="B234" s="750" t="str">
        <f t="shared" si="4"/>
        <v>Biomass emissions</v>
      </c>
      <c r="C234" s="750" t="s">
        <v>3274</v>
      </c>
      <c r="D234" s="985"/>
      <c r="E234" s="985"/>
      <c r="F234" s="985"/>
      <c r="G234" s="985"/>
      <c r="H234" s="985"/>
      <c r="I234" s="985"/>
      <c r="J234" s="985"/>
      <c r="K234" s="985"/>
      <c r="L234" s="985"/>
      <c r="M234" s="985"/>
    </row>
    <row r="235" spans="1:13" ht="12.75" x14ac:dyDescent="0.2">
      <c r="A235" s="693">
        <v>231</v>
      </c>
      <c r="B235" s="750" t="str">
        <f t="shared" si="4"/>
        <v>Total N2O emissions</v>
      </c>
      <c r="C235" s="750" t="s">
        <v>3275</v>
      </c>
      <c r="D235" s="985"/>
      <c r="E235" s="985"/>
      <c r="F235" s="985"/>
      <c r="G235" s="985"/>
      <c r="H235" s="985"/>
      <c r="I235" s="985"/>
      <c r="J235" s="985"/>
      <c r="K235" s="985"/>
      <c r="L235" s="985"/>
      <c r="M235" s="985"/>
    </row>
    <row r="236" spans="1:13" ht="12.75" x14ac:dyDescent="0.2">
      <c r="A236" s="693">
        <v>232</v>
      </c>
      <c r="B236" s="750" t="str">
        <f t="shared" si="4"/>
        <v>Total PFC emissions</v>
      </c>
      <c r="C236" s="750" t="s">
        <v>1371</v>
      </c>
      <c r="D236" s="985"/>
      <c r="E236" s="985"/>
      <c r="F236" s="985"/>
      <c r="G236" s="985"/>
      <c r="H236" s="985"/>
      <c r="I236" s="985"/>
      <c r="J236" s="985"/>
      <c r="K236" s="985"/>
      <c r="L236" s="985"/>
      <c r="M236" s="985"/>
    </row>
    <row r="237" spans="1:13" ht="12.75" x14ac:dyDescent="0.2">
      <c r="A237" s="693">
        <v>233</v>
      </c>
      <c r="B237" s="750" t="str">
        <f t="shared" si="4"/>
        <v>Total direct emissions</v>
      </c>
      <c r="C237" s="750" t="s">
        <v>3276</v>
      </c>
      <c r="D237" s="985"/>
      <c r="E237" s="985"/>
      <c r="F237" s="985"/>
      <c r="G237" s="985"/>
      <c r="H237" s="985"/>
      <c r="I237" s="985"/>
      <c r="J237" s="985"/>
      <c r="K237" s="985"/>
      <c r="L237" s="985"/>
      <c r="M237" s="985"/>
    </row>
    <row r="238" spans="1:13" ht="12.75" x14ac:dyDescent="0.2">
      <c r="A238" s="693">
        <v>234</v>
      </c>
      <c r="B238" s="750" t="str">
        <f t="shared" si="4"/>
        <v>Total indirect emissions</v>
      </c>
      <c r="C238" s="750" t="s">
        <v>3277</v>
      </c>
      <c r="D238" s="985"/>
      <c r="E238" s="985"/>
      <c r="F238" s="985"/>
      <c r="G238" s="985"/>
      <c r="H238" s="985"/>
      <c r="I238" s="985"/>
      <c r="J238" s="985"/>
      <c r="K238" s="985"/>
      <c r="L238" s="985"/>
      <c r="M238" s="985"/>
    </row>
    <row r="239" spans="1:13" ht="13.5" thickBot="1" x14ac:dyDescent="0.25">
      <c r="A239" s="693">
        <v>235</v>
      </c>
      <c r="B239" s="750" t="str">
        <f t="shared" si="4"/>
        <v>Total emissions</v>
      </c>
      <c r="C239" s="750" t="s">
        <v>3278</v>
      </c>
      <c r="D239" s="985"/>
      <c r="E239" s="985"/>
      <c r="F239" s="985"/>
      <c r="G239" s="985"/>
      <c r="H239" s="985"/>
      <c r="I239" s="985"/>
      <c r="J239" s="985"/>
      <c r="K239" s="985"/>
      <c r="L239" s="985"/>
      <c r="M239" s="985"/>
    </row>
    <row r="240" spans="1:13" ht="12.75" x14ac:dyDescent="0.2">
      <c r="A240" s="693">
        <v>236</v>
      </c>
      <c r="B240" s="754" t="str">
        <f t="shared" si="4"/>
        <v>Production processes</v>
      </c>
      <c r="C240" s="754" t="s">
        <v>3279</v>
      </c>
      <c r="D240" s="929"/>
      <c r="E240" s="929"/>
      <c r="F240" s="929"/>
      <c r="G240" s="929"/>
      <c r="H240" s="929"/>
      <c r="I240" s="929"/>
      <c r="J240" s="929"/>
      <c r="K240" s="929"/>
      <c r="L240" s="929"/>
      <c r="M240" s="929"/>
    </row>
    <row r="241" spans="1:13" ht="18" x14ac:dyDescent="0.2">
      <c r="A241" s="693">
        <v>237</v>
      </c>
      <c r="B241" s="316" t="str">
        <f t="shared" si="4"/>
        <v>Sheet "D_Processes" - Production level and attributed emissions for SEE calculation</v>
      </c>
      <c r="C241" s="316" t="s">
        <v>3280</v>
      </c>
      <c r="D241" s="931"/>
      <c r="E241" s="931"/>
      <c r="F241" s="931"/>
      <c r="G241" s="931"/>
      <c r="H241" s="931"/>
      <c r="I241" s="931"/>
      <c r="J241" s="931"/>
      <c r="K241" s="931"/>
      <c r="L241" s="931"/>
      <c r="M241" s="931"/>
    </row>
    <row r="242" spans="1:13" ht="15.75" x14ac:dyDescent="0.2">
      <c r="A242" s="693">
        <v>238</v>
      </c>
      <c r="B242" s="315" t="str">
        <f t="shared" si="4"/>
        <v>Data input for the determination of the specific embedded emissions</v>
      </c>
      <c r="C242" s="315" t="s">
        <v>3281</v>
      </c>
      <c r="D242" s="939"/>
      <c r="E242" s="939"/>
      <c r="F242" s="939"/>
      <c r="G242" s="939"/>
      <c r="H242" s="939"/>
      <c r="I242" s="939"/>
      <c r="J242" s="939"/>
      <c r="K242" s="939"/>
      <c r="L242" s="939"/>
      <c r="M242" s="939"/>
    </row>
    <row r="243" spans="1:13" ht="12.75" x14ac:dyDescent="0.2">
      <c r="A243" s="693">
        <v>239</v>
      </c>
      <c r="B243" s="731" t="str">
        <f t="shared" si="4"/>
        <v>Total production levels:</v>
      </c>
      <c r="C243" s="731" t="s">
        <v>3282</v>
      </c>
      <c r="D243" s="989"/>
      <c r="E243" s="989"/>
      <c r="F243" s="989"/>
      <c r="G243" s="989"/>
      <c r="H243" s="989"/>
      <c r="I243" s="989"/>
      <c r="J243" s="989"/>
      <c r="K243" s="989"/>
      <c r="L243" s="989"/>
      <c r="M243" s="989"/>
    </row>
    <row r="244" spans="1:13" ht="12.75" x14ac:dyDescent="0.2">
      <c r="A244" s="693">
        <v>240</v>
      </c>
      <c r="B244" s="732" t="str">
        <f t="shared" si="4"/>
        <v>Production route</v>
      </c>
      <c r="C244" s="732" t="s">
        <v>3283</v>
      </c>
      <c r="D244" s="990"/>
      <c r="E244" s="990"/>
      <c r="F244" s="990"/>
      <c r="G244" s="990"/>
      <c r="H244" s="990"/>
      <c r="I244" s="990"/>
      <c r="J244" s="990"/>
      <c r="K244" s="990"/>
      <c r="L244" s="990"/>
      <c r="M244" s="990"/>
    </row>
    <row r="245" spans="1:13" ht="12.75" x14ac:dyDescent="0.2">
      <c r="A245" s="693">
        <v>241</v>
      </c>
      <c r="B245" s="733" t="str">
        <f t="shared" si="4"/>
        <v>Amounts</v>
      </c>
      <c r="C245" s="733" t="s">
        <v>3284</v>
      </c>
      <c r="D245" s="991"/>
      <c r="E245" s="991"/>
      <c r="F245" s="991"/>
      <c r="G245" s="991"/>
      <c r="H245" s="991"/>
      <c r="I245" s="991"/>
      <c r="J245" s="991"/>
      <c r="K245" s="991"/>
      <c r="L245" s="991"/>
      <c r="M245" s="991"/>
    </row>
    <row r="246" spans="1:13" ht="12.75" x14ac:dyDescent="0.2">
      <c r="A246" s="693">
        <v>242</v>
      </c>
      <c r="B246" s="730" t="str">
        <f t="shared" si="4"/>
        <v>Total production within installation (= denominator for SEE calculation):</v>
      </c>
      <c r="C246" s="730" t="s">
        <v>3285</v>
      </c>
      <c r="D246" s="988"/>
      <c r="E246" s="988"/>
      <c r="F246" s="988"/>
      <c r="G246" s="988"/>
      <c r="H246" s="988"/>
      <c r="I246" s="988"/>
      <c r="J246" s="988"/>
      <c r="K246" s="988"/>
      <c r="L246" s="988"/>
      <c r="M246" s="988"/>
    </row>
    <row r="247" spans="1:13" ht="12.75" x14ac:dyDescent="0.2">
      <c r="A247" s="693">
        <v>243</v>
      </c>
      <c r="B247" s="731" t="str">
        <f t="shared" si="4"/>
        <v>Production details</v>
      </c>
      <c r="C247" s="731" t="s">
        <v>3286</v>
      </c>
      <c r="D247" s="989"/>
      <c r="E247" s="989"/>
      <c r="F247" s="989"/>
      <c r="G247" s="989"/>
      <c r="H247" s="989"/>
      <c r="I247" s="989"/>
      <c r="J247" s="989"/>
      <c r="K247" s="989"/>
      <c r="L247" s="989"/>
      <c r="M247" s="989"/>
    </row>
    <row r="248" spans="1:13" ht="12.75" x14ac:dyDescent="0.2">
      <c r="A248" s="693">
        <v>244</v>
      </c>
      <c r="B248" s="730" t="str">
        <f t="shared" si="4"/>
        <v>Produced for the market</v>
      </c>
      <c r="C248" s="730" t="s">
        <v>3287</v>
      </c>
      <c r="D248" s="988"/>
      <c r="E248" s="988"/>
      <c r="F248" s="988"/>
      <c r="G248" s="988"/>
      <c r="H248" s="988"/>
      <c r="I248" s="988"/>
      <c r="J248" s="988"/>
      <c r="K248" s="988"/>
      <c r="L248" s="988"/>
      <c r="M248" s="988"/>
    </row>
    <row r="249" spans="1:13" ht="12.75" x14ac:dyDescent="0.2">
      <c r="A249" s="693">
        <v>245</v>
      </c>
      <c r="B249" s="681" t="str">
        <f t="shared" si="4"/>
        <v>Share of total under (a) produced for the market</v>
      </c>
      <c r="C249" s="681" t="s">
        <v>3288</v>
      </c>
      <c r="D249" s="986"/>
      <c r="E249" s="986"/>
      <c r="F249" s="986"/>
      <c r="G249" s="986"/>
      <c r="H249" s="986"/>
      <c r="I249" s="986"/>
      <c r="J249" s="986"/>
      <c r="K249" s="986"/>
      <c r="L249" s="986"/>
      <c r="M249" s="986"/>
    </row>
    <row r="250" spans="1:13" ht="12.75" x14ac:dyDescent="0.2">
      <c r="A250" s="693">
        <v>246</v>
      </c>
      <c r="B250" s="684" t="str">
        <f t="shared" si="4"/>
        <v>Total production only for the market?</v>
      </c>
      <c r="C250" s="684" t="s">
        <v>3289</v>
      </c>
      <c r="D250" s="987"/>
      <c r="E250" s="987"/>
      <c r="F250" s="987"/>
      <c r="G250" s="987"/>
      <c r="H250" s="987"/>
      <c r="I250" s="987"/>
      <c r="J250" s="987"/>
      <c r="K250" s="987"/>
      <c r="L250" s="987"/>
      <c r="M250" s="987"/>
    </row>
    <row r="251" spans="1:13" ht="12.75" x14ac:dyDescent="0.2">
      <c r="A251" s="693">
        <v>247</v>
      </c>
      <c r="B251" s="731" t="str">
        <f t="shared" si="4"/>
        <v>Consumed in other 'production processes' within the installation:</v>
      </c>
      <c r="C251" s="731" t="s">
        <v>3290</v>
      </c>
      <c r="D251" s="989"/>
      <c r="E251" s="989"/>
      <c r="F251" s="989"/>
      <c r="G251" s="989"/>
      <c r="H251" s="989"/>
      <c r="I251" s="989"/>
      <c r="J251" s="989"/>
      <c r="K251" s="989"/>
      <c r="L251" s="989"/>
      <c r="M251" s="989"/>
    </row>
    <row r="252" spans="1:13" ht="12.75" x14ac:dyDescent="0.2">
      <c r="A252" s="693">
        <v>248</v>
      </c>
      <c r="B252" s="731" t="str">
        <f t="shared" si="4"/>
        <v>Consumed for non-CBAM goods within the installation:</v>
      </c>
      <c r="C252" s="731" t="s">
        <v>3291</v>
      </c>
      <c r="D252" s="989"/>
      <c r="E252" s="989"/>
      <c r="F252" s="989"/>
      <c r="G252" s="989"/>
      <c r="H252" s="989"/>
      <c r="I252" s="989"/>
      <c r="J252" s="989"/>
      <c r="K252" s="989"/>
      <c r="L252" s="989"/>
      <c r="M252" s="989"/>
    </row>
    <row r="253" spans="1:13" ht="12.75" x14ac:dyDescent="0.2">
      <c r="A253" s="693">
        <v>249</v>
      </c>
      <c r="B253" s="730" t="str">
        <f t="shared" si="4"/>
        <v>Control:</v>
      </c>
      <c r="C253" s="730" t="s">
        <v>3292</v>
      </c>
      <c r="D253" s="988"/>
      <c r="E253" s="988"/>
      <c r="F253" s="988"/>
      <c r="G253" s="988"/>
      <c r="H253" s="988"/>
      <c r="I253" s="988"/>
      <c r="J253" s="988"/>
      <c r="K253" s="988"/>
      <c r="L253" s="988"/>
      <c r="M253" s="988"/>
    </row>
    <row r="254" spans="1:13" ht="15.75" x14ac:dyDescent="0.2">
      <c r="A254" s="693">
        <v>250</v>
      </c>
      <c r="B254" s="194" t="str">
        <f t="shared" si="4"/>
        <v>Calculation of the attributed emissions:</v>
      </c>
      <c r="C254" s="194" t="s">
        <v>3293</v>
      </c>
      <c r="D254" s="992"/>
      <c r="E254" s="992"/>
      <c r="F254" s="992"/>
      <c r="G254" s="992"/>
      <c r="H254" s="992"/>
      <c r="I254" s="992"/>
      <c r="J254" s="992"/>
      <c r="K254" s="992"/>
      <c r="L254" s="992"/>
      <c r="M254" s="992"/>
    </row>
    <row r="255" spans="1:13" ht="12.75" x14ac:dyDescent="0.2">
      <c r="A255" s="693">
        <v>251</v>
      </c>
      <c r="B255" s="765" t="str">
        <f t="shared" si="4"/>
        <v>Measurable heat</v>
      </c>
      <c r="C255" s="765" t="s">
        <v>3294</v>
      </c>
      <c r="D255" s="993"/>
      <c r="E255" s="993"/>
      <c r="F255" s="993"/>
      <c r="G255" s="993"/>
      <c r="H255" s="993"/>
      <c r="I255" s="993"/>
      <c r="J255" s="993"/>
      <c r="K255" s="993"/>
      <c r="L255" s="993"/>
      <c r="M255" s="993"/>
    </row>
    <row r="256" spans="1:13" ht="12.75" x14ac:dyDescent="0.2">
      <c r="A256" s="693">
        <v>252</v>
      </c>
      <c r="B256" s="765" t="str">
        <f t="shared" si="4"/>
        <v>Waste gases</v>
      </c>
      <c r="C256" s="765" t="s">
        <v>3295</v>
      </c>
      <c r="D256" s="993"/>
      <c r="E256" s="993"/>
      <c r="F256" s="993"/>
      <c r="G256" s="993"/>
      <c r="H256" s="993"/>
      <c r="I256" s="993"/>
      <c r="J256" s="993"/>
      <c r="K256" s="993"/>
      <c r="L256" s="993"/>
      <c r="M256" s="993"/>
    </row>
    <row r="257" spans="1:13" ht="12.75" x14ac:dyDescent="0.2">
      <c r="A257" s="693">
        <v>253</v>
      </c>
      <c r="B257" s="765" t="str">
        <f t="shared" si="4"/>
        <v>Indirect emissions</v>
      </c>
      <c r="C257" s="765" t="s">
        <v>3296</v>
      </c>
      <c r="D257" s="993"/>
      <c r="E257" s="993"/>
      <c r="F257" s="993"/>
      <c r="G257" s="993"/>
      <c r="H257" s="993"/>
      <c r="I257" s="993"/>
      <c r="J257" s="993"/>
      <c r="K257" s="993"/>
      <c r="L257" s="993"/>
      <c r="M257" s="993"/>
    </row>
    <row r="258" spans="1:13" ht="12.75" x14ac:dyDescent="0.2">
      <c r="A258" s="693">
        <v>254</v>
      </c>
      <c r="B258" s="734" t="str">
        <f t="shared" si="4"/>
        <v>Please select which elements are applicable</v>
      </c>
      <c r="C258" s="734" t="s">
        <v>3297</v>
      </c>
      <c r="D258" s="994"/>
      <c r="E258" s="994"/>
      <c r="F258" s="994"/>
      <c r="G258" s="994"/>
      <c r="H258" s="994"/>
      <c r="I258" s="994"/>
      <c r="J258" s="994"/>
      <c r="K258" s="994"/>
      <c r="L258" s="994"/>
      <c r="M258" s="994"/>
    </row>
    <row r="259" spans="1:13" x14ac:dyDescent="0.2">
      <c r="A259" s="693">
        <v>255</v>
      </c>
      <c r="B259" s="735" t="str">
        <f t="shared" si="4"/>
        <v>Based on your selection, related sections below might become irrelevant and greyed out below.</v>
      </c>
      <c r="C259" s="735" t="s">
        <v>3298</v>
      </c>
      <c r="D259" s="995"/>
      <c r="E259" s="995"/>
      <c r="F259" s="995"/>
      <c r="G259" s="995"/>
      <c r="H259" s="995"/>
      <c r="I259" s="995"/>
      <c r="J259" s="995"/>
      <c r="K259" s="995"/>
      <c r="L259" s="995"/>
      <c r="M259" s="995"/>
    </row>
    <row r="260" spans="1:13" ht="12.75" x14ac:dyDescent="0.2">
      <c r="A260" s="693">
        <v>256</v>
      </c>
      <c r="B260" s="736" t="str">
        <f t="shared" si="4"/>
        <v>Value</v>
      </c>
      <c r="C260" s="736" t="s">
        <v>1360</v>
      </c>
      <c r="D260" s="996"/>
      <c r="E260" s="996"/>
      <c r="F260" s="996"/>
      <c r="G260" s="996"/>
      <c r="H260" s="996"/>
      <c r="I260" s="996"/>
      <c r="J260" s="996"/>
      <c r="K260" s="996"/>
      <c r="L260" s="996"/>
      <c r="M260" s="996"/>
    </row>
    <row r="261" spans="1:13" ht="12.75" x14ac:dyDescent="0.2">
      <c r="A261" s="693">
        <v>257</v>
      </c>
      <c r="B261" s="734" t="str">
        <f t="shared" si="4"/>
        <v>Directly attributable emissions (DirEm*)</v>
      </c>
      <c r="C261" s="734" t="s">
        <v>3299</v>
      </c>
      <c r="D261" s="994"/>
      <c r="E261" s="994"/>
      <c r="F261" s="994"/>
      <c r="G261" s="994"/>
      <c r="H261" s="994"/>
      <c r="I261" s="994"/>
      <c r="J261" s="994"/>
      <c r="K261" s="994"/>
      <c r="L261" s="994"/>
      <c r="M261" s="994"/>
    </row>
    <row r="262" spans="1:13" ht="12.75" x14ac:dyDescent="0.2">
      <c r="A262" s="693">
        <v>258</v>
      </c>
      <c r="B262" s="736" t="str">
        <f t="shared" si="4"/>
        <v>Import and export of measurable heat</v>
      </c>
      <c r="C262" s="736" t="s">
        <v>3300</v>
      </c>
      <c r="D262" s="996"/>
      <c r="E262" s="996"/>
      <c r="F262" s="996"/>
      <c r="G262" s="996"/>
      <c r="H262" s="996"/>
      <c r="I262" s="996"/>
      <c r="J262" s="996"/>
      <c r="K262" s="996"/>
      <c r="L262" s="996"/>
      <c r="M262" s="996"/>
    </row>
    <row r="263" spans="1:13" ht="12.75" x14ac:dyDescent="0.2">
      <c r="A263" s="693">
        <v>259</v>
      </c>
      <c r="B263" s="736" t="str">
        <f t="shared" si="4"/>
        <v>Imported</v>
      </c>
      <c r="C263" s="736" t="s">
        <v>3301</v>
      </c>
      <c r="D263" s="996"/>
      <c r="E263" s="996"/>
      <c r="F263" s="996"/>
      <c r="G263" s="996"/>
      <c r="H263" s="996"/>
      <c r="I263" s="996"/>
      <c r="J263" s="996"/>
      <c r="K263" s="996"/>
      <c r="L263" s="996"/>
      <c r="M263" s="996"/>
    </row>
    <row r="264" spans="1:13" ht="12.75" x14ac:dyDescent="0.2">
      <c r="A264" s="693">
        <v>260</v>
      </c>
      <c r="B264" s="736" t="str">
        <f t="shared" si="4"/>
        <v>Exported</v>
      </c>
      <c r="C264" s="736" t="s">
        <v>3302</v>
      </c>
      <c r="D264" s="996"/>
      <c r="E264" s="996"/>
      <c r="F264" s="996"/>
      <c r="G264" s="996"/>
      <c r="H264" s="996"/>
      <c r="I264" s="996"/>
      <c r="J264" s="996"/>
      <c r="K264" s="996"/>
      <c r="L264" s="996"/>
      <c r="M264" s="996"/>
    </row>
    <row r="265" spans="1:13" ht="12.75" x14ac:dyDescent="0.2">
      <c r="A265" s="693">
        <v>261</v>
      </c>
      <c r="B265" s="737" t="str">
        <f t="shared" si="4"/>
        <v>Amount of net measurable heat</v>
      </c>
      <c r="C265" s="737" t="s">
        <v>3303</v>
      </c>
      <c r="D265" s="997"/>
      <c r="E265" s="997"/>
      <c r="F265" s="997"/>
      <c r="G265" s="997"/>
      <c r="H265" s="997"/>
      <c r="I265" s="997"/>
      <c r="J265" s="997"/>
      <c r="K265" s="997"/>
      <c r="L265" s="997"/>
      <c r="M265" s="997"/>
    </row>
    <row r="266" spans="1:13" ht="12.75" x14ac:dyDescent="0.2">
      <c r="A266" s="693">
        <v>262</v>
      </c>
      <c r="B266" s="737" t="str">
        <f t="shared" si="4"/>
        <v>Emissions factor</v>
      </c>
      <c r="C266" s="737" t="s">
        <v>3304</v>
      </c>
      <c r="D266" s="997"/>
      <c r="E266" s="997"/>
      <c r="F266" s="997"/>
      <c r="G266" s="997"/>
      <c r="H266" s="997"/>
      <c r="I266" s="997"/>
      <c r="J266" s="997"/>
      <c r="K266" s="997"/>
      <c r="L266" s="997"/>
      <c r="M266" s="997"/>
    </row>
    <row r="267" spans="1:13" ht="12.75" x14ac:dyDescent="0.2">
      <c r="A267" s="693">
        <v>263</v>
      </c>
      <c r="B267" s="737" t="str">
        <f t="shared" ref="B267:B330" si="5">IFERROR(INDEX(C267:M267,$A$4-2),$C267)</f>
        <v>Amount of waste gas</v>
      </c>
      <c r="C267" s="737" t="s">
        <v>3305</v>
      </c>
      <c r="D267" s="997"/>
      <c r="E267" s="997"/>
      <c r="F267" s="997"/>
      <c r="G267" s="997"/>
      <c r="H267" s="997"/>
      <c r="I267" s="997"/>
      <c r="J267" s="997"/>
      <c r="K267" s="997"/>
      <c r="L267" s="997"/>
      <c r="M267" s="997"/>
    </row>
    <row r="268" spans="1:13" ht="12.75" x14ac:dyDescent="0.2">
      <c r="A268" s="693">
        <v>264</v>
      </c>
      <c r="B268" s="737" t="str">
        <f t="shared" si="5"/>
        <v>Emission factor</v>
      </c>
      <c r="C268" s="737" t="s">
        <v>3306</v>
      </c>
      <c r="D268" s="997"/>
      <c r="E268" s="997"/>
      <c r="F268" s="997"/>
      <c r="G268" s="997"/>
      <c r="H268" s="997"/>
      <c r="I268" s="997"/>
      <c r="J268" s="997"/>
      <c r="K268" s="997"/>
      <c r="L268" s="997"/>
      <c r="M268" s="997"/>
    </row>
    <row r="269" spans="1:13" ht="12.75" x14ac:dyDescent="0.2">
      <c r="A269" s="693">
        <v>265</v>
      </c>
      <c r="B269" s="736" t="str">
        <f t="shared" si="5"/>
        <v>Indirect emissions from electricity consumption</v>
      </c>
      <c r="C269" s="736" t="s">
        <v>3307</v>
      </c>
      <c r="D269" s="996"/>
      <c r="E269" s="996"/>
      <c r="F269" s="996"/>
      <c r="G269" s="996"/>
      <c r="H269" s="996"/>
      <c r="I269" s="996"/>
      <c r="J269" s="996"/>
      <c r="K269" s="996"/>
      <c r="L269" s="996"/>
      <c r="M269" s="996"/>
    </row>
    <row r="270" spans="1:13" ht="12.75" x14ac:dyDescent="0.2">
      <c r="A270" s="693">
        <v>266</v>
      </c>
      <c r="B270" s="737" t="str">
        <f t="shared" si="5"/>
        <v>Electricity consumption</v>
      </c>
      <c r="C270" s="737" t="s">
        <v>3308</v>
      </c>
      <c r="D270" s="997"/>
      <c r="E270" s="997"/>
      <c r="F270" s="997"/>
      <c r="G270" s="997"/>
      <c r="H270" s="997"/>
      <c r="I270" s="997"/>
      <c r="J270" s="997"/>
      <c r="K270" s="997"/>
      <c r="L270" s="997"/>
      <c r="M270" s="997"/>
    </row>
    <row r="271" spans="1:13" ht="12.75" x14ac:dyDescent="0.2">
      <c r="A271" s="693">
        <v>267</v>
      </c>
      <c r="B271" s="737" t="str">
        <f t="shared" si="5"/>
        <v>Emission factor of the electricity</v>
      </c>
      <c r="C271" s="737" t="s">
        <v>3309</v>
      </c>
      <c r="D271" s="997"/>
      <c r="E271" s="997"/>
      <c r="F271" s="997"/>
      <c r="G271" s="997"/>
      <c r="H271" s="997"/>
      <c r="I271" s="997"/>
      <c r="J271" s="997"/>
      <c r="K271" s="997"/>
      <c r="L271" s="997"/>
      <c r="M271" s="997"/>
    </row>
    <row r="272" spans="1:13" ht="12.75" x14ac:dyDescent="0.2">
      <c r="A272" s="693">
        <v>268</v>
      </c>
      <c r="B272" s="737" t="str">
        <f t="shared" si="5"/>
        <v>Source of the emission factor</v>
      </c>
      <c r="C272" s="737" t="s">
        <v>3310</v>
      </c>
      <c r="D272" s="997"/>
      <c r="E272" s="997"/>
      <c r="F272" s="997"/>
      <c r="G272" s="997"/>
      <c r="H272" s="997"/>
      <c r="I272" s="997"/>
      <c r="J272" s="997"/>
      <c r="K272" s="997"/>
      <c r="L272" s="997"/>
      <c r="M272" s="997"/>
    </row>
    <row r="273" spans="1:13" ht="12.75" x14ac:dyDescent="0.2">
      <c r="A273" s="693">
        <v>269</v>
      </c>
      <c r="B273" s="736" t="str">
        <f t="shared" si="5"/>
        <v>Electricity exported from the production process</v>
      </c>
      <c r="C273" s="736" t="s">
        <v>3311</v>
      </c>
      <c r="D273" s="996"/>
      <c r="E273" s="996"/>
      <c r="F273" s="996"/>
      <c r="G273" s="996"/>
      <c r="H273" s="996"/>
      <c r="I273" s="996"/>
      <c r="J273" s="996"/>
      <c r="K273" s="996"/>
      <c r="L273" s="996"/>
      <c r="M273" s="996"/>
    </row>
    <row r="274" spans="1:13" ht="12.75" x14ac:dyDescent="0.2">
      <c r="A274" s="693">
        <v>270</v>
      </c>
      <c r="B274" s="737" t="str">
        <f t="shared" si="5"/>
        <v>Amounts exported</v>
      </c>
      <c r="C274" s="737" t="s">
        <v>3312</v>
      </c>
      <c r="D274" s="997"/>
      <c r="E274" s="997"/>
      <c r="F274" s="997"/>
      <c r="G274" s="997"/>
      <c r="H274" s="997"/>
      <c r="I274" s="997"/>
      <c r="J274" s="997"/>
      <c r="K274" s="997"/>
      <c r="L274" s="997"/>
      <c r="M274" s="997"/>
    </row>
    <row r="275" spans="1:13" ht="18" x14ac:dyDescent="0.2">
      <c r="A275" s="693">
        <v>271</v>
      </c>
      <c r="B275" s="316" t="str">
        <f t="shared" si="5"/>
        <v>Sheet "E_PurchPrec" - Purchased precursors for SEE calculation</v>
      </c>
      <c r="C275" s="316" t="s">
        <v>3313</v>
      </c>
      <c r="D275" s="931"/>
      <c r="E275" s="931"/>
      <c r="F275" s="931"/>
      <c r="G275" s="931"/>
      <c r="H275" s="931"/>
      <c r="I275" s="931"/>
      <c r="J275" s="931"/>
      <c r="K275" s="931"/>
      <c r="L275" s="931"/>
      <c r="M275" s="931"/>
    </row>
    <row r="276" spans="1:13" ht="12.75" x14ac:dyDescent="0.2">
      <c r="A276" s="693">
        <v>272</v>
      </c>
      <c r="B276" s="731" t="str">
        <f t="shared" si="5"/>
        <v>Total purchased levels:</v>
      </c>
      <c r="C276" s="731" t="s">
        <v>3314</v>
      </c>
      <c r="D276" s="989"/>
      <c r="E276" s="989"/>
      <c r="F276" s="989"/>
      <c r="G276" s="989"/>
      <c r="H276" s="989"/>
      <c r="I276" s="989"/>
      <c r="J276" s="989"/>
      <c r="K276" s="989"/>
      <c r="L276" s="989"/>
      <c r="M276" s="989"/>
    </row>
    <row r="277" spans="1:13" ht="12.75" x14ac:dyDescent="0.2">
      <c r="A277" s="693">
        <v>273</v>
      </c>
      <c r="B277" s="730" t="str">
        <f t="shared" si="5"/>
        <v>Total consumption within installation:</v>
      </c>
      <c r="C277" s="730" t="s">
        <v>3315</v>
      </c>
      <c r="D277" s="988"/>
      <c r="E277" s="988"/>
      <c r="F277" s="988"/>
      <c r="G277" s="988"/>
      <c r="H277" s="988"/>
      <c r="I277" s="988"/>
      <c r="J277" s="988"/>
      <c r="K277" s="988"/>
      <c r="L277" s="988"/>
      <c r="M277" s="988"/>
    </row>
    <row r="278" spans="1:13" ht="12.75" x14ac:dyDescent="0.2">
      <c r="A278" s="693">
        <v>274</v>
      </c>
      <c r="B278" s="731" t="str">
        <f t="shared" si="5"/>
        <v>Consumed in "production processes" within the installation:</v>
      </c>
      <c r="C278" s="731" t="s">
        <v>3316</v>
      </c>
      <c r="D278" s="989"/>
      <c r="E278" s="989"/>
      <c r="F278" s="989"/>
      <c r="G278" s="989"/>
      <c r="H278" s="989"/>
      <c r="I278" s="989"/>
      <c r="J278" s="989"/>
      <c r="K278" s="989"/>
      <c r="L278" s="989"/>
      <c r="M278" s="989"/>
    </row>
    <row r="279" spans="1:13" ht="15.75" x14ac:dyDescent="0.2">
      <c r="A279" s="693">
        <v>275</v>
      </c>
      <c r="B279" s="194" t="str">
        <f t="shared" si="5"/>
        <v>Specific embedded emissions:</v>
      </c>
      <c r="C279" s="194" t="s">
        <v>3317</v>
      </c>
      <c r="D279" s="992"/>
      <c r="E279" s="992"/>
      <c r="F279" s="992"/>
      <c r="G279" s="992"/>
      <c r="H279" s="992"/>
      <c r="I279" s="992"/>
      <c r="J279" s="992"/>
      <c r="K279" s="992"/>
      <c r="L279" s="992"/>
      <c r="M279" s="992"/>
    </row>
    <row r="280" spans="1:13" ht="12.75" x14ac:dyDescent="0.2">
      <c r="A280" s="693">
        <v>276</v>
      </c>
      <c r="B280" s="736" t="str">
        <f t="shared" si="5"/>
        <v>Emissions embedded in this purchased precursor</v>
      </c>
      <c r="C280" s="736" t="s">
        <v>3318</v>
      </c>
      <c r="D280" s="996"/>
      <c r="E280" s="996"/>
      <c r="F280" s="996"/>
      <c r="G280" s="996"/>
      <c r="H280" s="996"/>
      <c r="I280" s="996"/>
      <c r="J280" s="996"/>
      <c r="K280" s="996"/>
      <c r="L280" s="996"/>
      <c r="M280" s="996"/>
    </row>
    <row r="281" spans="1:13" x14ac:dyDescent="0.2">
      <c r="A281" s="693">
        <v>277</v>
      </c>
      <c r="B281" s="766" t="str">
        <f t="shared" si="5"/>
        <v>Please enter here the values and sources for the specific embedded direct and indirect emissions, as obtained from the supplier.</v>
      </c>
      <c r="C281" s="766" t="s">
        <v>3319</v>
      </c>
      <c r="D281" s="998"/>
      <c r="E281" s="998"/>
      <c r="F281" s="998"/>
      <c r="G281" s="998"/>
      <c r="H281" s="998"/>
      <c r="I281" s="998"/>
      <c r="J281" s="998"/>
      <c r="K281" s="998"/>
      <c r="L281" s="998"/>
      <c r="M281" s="998"/>
    </row>
    <row r="282" spans="1:13" x14ac:dyDescent="0.2">
      <c r="A282" s="693">
        <v>278</v>
      </c>
      <c r="B282" s="766" t="str">
        <f t="shared" si="5"/>
        <v>For the SEE (direct), the 'Type of value' relates to whether the direct emissions are measured, or whether a default value provided by the European Commission was applied.</v>
      </c>
      <c r="C282" s="766" t="s">
        <v>3320</v>
      </c>
      <c r="D282" s="998"/>
      <c r="E282" s="998"/>
      <c r="F282" s="998"/>
      <c r="G282" s="998"/>
      <c r="H282" s="998"/>
      <c r="I282" s="998"/>
      <c r="J282" s="998"/>
      <c r="K282" s="998"/>
      <c r="L282" s="998"/>
      <c r="M282" s="998"/>
    </row>
    <row r="283" spans="1:13" x14ac:dyDescent="0.2">
      <c r="A283" s="693">
        <v>279</v>
      </c>
      <c r="B283" s="766" t="str">
        <f t="shared" si="5"/>
        <v>In order to obtain these data and information, you may want to ask your supplier to fill in an empty copy of this communication template.</v>
      </c>
      <c r="C283" s="766" t="s">
        <v>3321</v>
      </c>
      <c r="D283" s="998"/>
      <c r="E283" s="998"/>
      <c r="F283" s="998"/>
      <c r="G283" s="998"/>
      <c r="H283" s="998"/>
      <c r="I283" s="998"/>
      <c r="J283" s="998"/>
      <c r="K283" s="998"/>
      <c r="L283" s="998"/>
      <c r="M283" s="998"/>
    </row>
    <row r="284" spans="1:13" ht="12.75" x14ac:dyDescent="0.2">
      <c r="A284" s="693">
        <v>280</v>
      </c>
      <c r="B284" s="736" t="str">
        <f t="shared" si="5"/>
        <v>Parameter:</v>
      </c>
      <c r="C284" s="736" t="s">
        <v>3322</v>
      </c>
      <c r="D284" s="996"/>
      <c r="E284" s="996"/>
      <c r="F284" s="996"/>
      <c r="G284" s="996"/>
      <c r="H284" s="996"/>
      <c r="I284" s="996"/>
      <c r="J284" s="996"/>
      <c r="K284" s="996"/>
      <c r="L284" s="996"/>
      <c r="M284" s="996"/>
    </row>
    <row r="285" spans="1:13" ht="12.75" x14ac:dyDescent="0.2">
      <c r="A285" s="693">
        <v>281</v>
      </c>
      <c r="B285" s="736" t="str">
        <f t="shared" si="5"/>
        <v>Source</v>
      </c>
      <c r="C285" s="736" t="s">
        <v>3323</v>
      </c>
      <c r="D285" s="996"/>
      <c r="E285" s="996"/>
      <c r="F285" s="996"/>
      <c r="G285" s="996"/>
      <c r="H285" s="996"/>
      <c r="I285" s="996"/>
      <c r="J285" s="996"/>
      <c r="K285" s="996"/>
      <c r="L285" s="996"/>
      <c r="M285" s="996"/>
    </row>
    <row r="286" spans="1:13" ht="12.75" x14ac:dyDescent="0.2">
      <c r="A286" s="693">
        <v>282</v>
      </c>
      <c r="B286" s="737" t="str">
        <f t="shared" si="5"/>
        <v>Specific embedded direct emissions (SEE (direct) )</v>
      </c>
      <c r="C286" s="737" t="s">
        <v>3324</v>
      </c>
      <c r="D286" s="997"/>
      <c r="E286" s="997"/>
      <c r="F286" s="997"/>
      <c r="G286" s="997"/>
      <c r="H286" s="997"/>
      <c r="I286" s="997"/>
      <c r="J286" s="997"/>
      <c r="K286" s="997"/>
      <c r="L286" s="997"/>
      <c r="M286" s="997"/>
    </row>
    <row r="287" spans="1:13" ht="13.5" thickBot="1" x14ac:dyDescent="0.25">
      <c r="A287" s="693">
        <v>283</v>
      </c>
      <c r="B287" s="737" t="str">
        <f t="shared" si="5"/>
        <v>Specific embedded indirect emissions (SEE (indirect) )</v>
      </c>
      <c r="C287" s="737" t="s">
        <v>3325</v>
      </c>
      <c r="D287" s="997"/>
      <c r="E287" s="997"/>
      <c r="F287" s="997"/>
      <c r="G287" s="997"/>
      <c r="H287" s="997"/>
      <c r="I287" s="997"/>
      <c r="J287" s="997"/>
      <c r="K287" s="997"/>
      <c r="L287" s="997"/>
      <c r="M287" s="997"/>
    </row>
    <row r="288" spans="1:13" ht="12.75" x14ac:dyDescent="0.2">
      <c r="A288" s="693">
        <v>284</v>
      </c>
      <c r="B288" s="754" t="str">
        <f t="shared" si="5"/>
        <v>Tools</v>
      </c>
      <c r="C288" s="754" t="s">
        <v>3326</v>
      </c>
      <c r="D288" s="929"/>
      <c r="E288" s="929"/>
      <c r="F288" s="929"/>
      <c r="G288" s="929"/>
      <c r="H288" s="929"/>
      <c r="I288" s="929"/>
      <c r="J288" s="929"/>
      <c r="K288" s="929"/>
      <c r="L288" s="929"/>
      <c r="M288" s="929"/>
    </row>
    <row r="289" spans="1:13" ht="18" x14ac:dyDescent="0.2">
      <c r="A289" s="693">
        <v>285</v>
      </c>
      <c r="B289" s="316" t="str">
        <f t="shared" si="5"/>
        <v>Sheet "F_Tools" - Tools for facilitating reporting</v>
      </c>
      <c r="C289" s="316" t="s">
        <v>3327</v>
      </c>
      <c r="D289" s="931"/>
      <c r="E289" s="931"/>
      <c r="F289" s="931"/>
      <c r="G289" s="931"/>
      <c r="H289" s="931"/>
      <c r="I289" s="931"/>
      <c r="J289" s="931"/>
      <c r="K289" s="931"/>
      <c r="L289" s="931"/>
      <c r="M289" s="931"/>
    </row>
    <row r="290" spans="1:13" ht="15.75" x14ac:dyDescent="0.2">
      <c r="A290" s="693">
        <v>286</v>
      </c>
      <c r="B290" s="315" t="str">
        <f t="shared" si="5"/>
        <v>Cogeneration Tool</v>
      </c>
      <c r="C290" s="315" t="s">
        <v>3328</v>
      </c>
      <c r="D290" s="939"/>
      <c r="E290" s="939"/>
      <c r="F290" s="939"/>
      <c r="G290" s="939"/>
      <c r="H290" s="939"/>
      <c r="I290" s="939"/>
      <c r="J290" s="939"/>
      <c r="K290" s="939"/>
      <c r="L290" s="939"/>
      <c r="M290" s="939"/>
    </row>
    <row r="291" spans="1:13" x14ac:dyDescent="0.2">
      <c r="A291" s="693">
        <v>287</v>
      </c>
      <c r="B291" s="767" t="str">
        <f t="shared" si="5"/>
        <v>This is a tool for attributing fuels and emissions of CHPs to heat and electricity output.</v>
      </c>
      <c r="C291" s="767" t="s">
        <v>3329</v>
      </c>
      <c r="D291" s="999"/>
      <c r="E291" s="999"/>
      <c r="F291" s="999"/>
      <c r="G291" s="999"/>
      <c r="H291" s="999"/>
      <c r="I291" s="999"/>
      <c r="J291" s="999"/>
      <c r="K291" s="999"/>
      <c r="L291" s="999"/>
      <c r="M291" s="999"/>
    </row>
    <row r="292" spans="1:13" x14ac:dyDescent="0.2">
      <c r="A292" s="693">
        <v>288</v>
      </c>
      <c r="B292" s="767" t="str">
        <f t="shared" si="5"/>
        <v>This tool exists twofold in this template and each tool should only be used for one CHP. If more CHPs are relevant, you must aggregate energy amounts and emissions from multiple CHPs.</v>
      </c>
      <c r="C292" s="767" t="s">
        <v>3330</v>
      </c>
      <c r="D292" s="999"/>
      <c r="E292" s="999"/>
      <c r="F292" s="999"/>
      <c r="G292" s="999"/>
      <c r="H292" s="999"/>
      <c r="I292" s="999"/>
      <c r="J292" s="999"/>
      <c r="K292" s="999"/>
      <c r="L292" s="999"/>
      <c r="M292" s="999"/>
    </row>
    <row r="293" spans="1:13" x14ac:dyDescent="0.2">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3331</v>
      </c>
      <c r="D293" s="999"/>
      <c r="E293" s="999"/>
      <c r="F293" s="999"/>
      <c r="G293" s="999"/>
      <c r="H293" s="999"/>
      <c r="I293" s="999"/>
      <c r="J293" s="999"/>
      <c r="K293" s="999"/>
      <c r="L293" s="999"/>
      <c r="M293" s="999"/>
    </row>
    <row r="294" spans="1:13" ht="15" x14ac:dyDescent="0.2">
      <c r="A294" s="693">
        <v>290</v>
      </c>
      <c r="B294" s="768" t="str">
        <f t="shared" si="5"/>
        <v>Tool to calculate the emissions attributable to heat production in combined heat and power units (CHP)</v>
      </c>
      <c r="C294" s="768" t="s">
        <v>3332</v>
      </c>
      <c r="D294" s="1000"/>
      <c r="E294" s="1000"/>
      <c r="F294" s="1000"/>
      <c r="G294" s="1000"/>
      <c r="H294" s="1000"/>
      <c r="I294" s="1000"/>
      <c r="J294" s="1000"/>
      <c r="K294" s="1000"/>
      <c r="L294" s="1000"/>
      <c r="M294" s="1000"/>
    </row>
    <row r="295" spans="1:13" ht="12.75" x14ac:dyDescent="0.2">
      <c r="A295" s="693">
        <v>291</v>
      </c>
      <c r="B295" s="706" t="str">
        <f t="shared" si="5"/>
        <v>Total amount of fuel input into CHP units</v>
      </c>
      <c r="C295" s="706" t="s">
        <v>3333</v>
      </c>
      <c r="D295" s="935"/>
      <c r="E295" s="935"/>
      <c r="F295" s="935"/>
      <c r="G295" s="935"/>
      <c r="H295" s="935"/>
      <c r="I295" s="935"/>
      <c r="J295" s="935"/>
      <c r="K295" s="935"/>
      <c r="L295" s="935"/>
      <c r="M295" s="935"/>
    </row>
    <row r="296" spans="1:13" x14ac:dyDescent="0.2">
      <c r="A296" s="693">
        <v>292</v>
      </c>
      <c r="B296" s="760" t="str">
        <f t="shared" si="5"/>
        <v>Please enter here the annual fuel input into the CHP unit, the net amount of heat produced and the net amount of electricity (or mechanical energy, where applicable) produced by the CHP.</v>
      </c>
      <c r="C296" s="760" t="s">
        <v>3334</v>
      </c>
      <c r="D296" s="959"/>
      <c r="E296" s="959"/>
      <c r="F296" s="959"/>
      <c r="G296" s="959"/>
      <c r="H296" s="959"/>
      <c r="I296" s="959"/>
      <c r="J296" s="959"/>
      <c r="K296" s="959"/>
      <c r="L296" s="959"/>
      <c r="M296" s="959"/>
    </row>
    <row r="297" spans="1:13" ht="12.75" x14ac:dyDescent="0.2">
      <c r="A297" s="693">
        <v>293</v>
      </c>
      <c r="B297" s="738" t="str">
        <f t="shared" si="5"/>
        <v>Parameter</v>
      </c>
      <c r="C297" s="738" t="s">
        <v>1359</v>
      </c>
      <c r="D297" s="1001"/>
      <c r="E297" s="1001"/>
      <c r="F297" s="1001"/>
      <c r="G297" s="1001"/>
      <c r="H297" s="1001"/>
      <c r="I297" s="1001"/>
      <c r="J297" s="1001"/>
      <c r="K297" s="1001"/>
      <c r="L297" s="1001"/>
      <c r="M297" s="1001"/>
    </row>
    <row r="298" spans="1:13" ht="12.75" x14ac:dyDescent="0.2">
      <c r="A298" s="693">
        <v>294</v>
      </c>
      <c r="B298" s="769" t="str">
        <f t="shared" si="5"/>
        <v>Fuel input into CHP</v>
      </c>
      <c r="C298" s="769" t="s">
        <v>3335</v>
      </c>
      <c r="D298" s="1002"/>
      <c r="E298" s="1002"/>
      <c r="F298" s="1002"/>
      <c r="G298" s="1002"/>
      <c r="H298" s="1002"/>
      <c r="I298" s="1002"/>
      <c r="J298" s="1002"/>
      <c r="K298" s="1002"/>
      <c r="L298" s="1002"/>
      <c r="M298" s="1002"/>
    </row>
    <row r="299" spans="1:13" ht="12.75" x14ac:dyDescent="0.2">
      <c r="A299" s="693">
        <v>295</v>
      </c>
      <c r="B299" s="769" t="str">
        <f t="shared" si="5"/>
        <v>Heat output from CHP</v>
      </c>
      <c r="C299" s="769" t="s">
        <v>3336</v>
      </c>
      <c r="D299" s="1002"/>
      <c r="E299" s="1002"/>
      <c r="F299" s="1002"/>
      <c r="G299" s="1002"/>
      <c r="H299" s="1002"/>
      <c r="I299" s="1002"/>
      <c r="J299" s="1002"/>
      <c r="K299" s="1002"/>
      <c r="L299" s="1002"/>
      <c r="M299" s="1002"/>
    </row>
    <row r="300" spans="1:13" ht="12.75" x14ac:dyDescent="0.2">
      <c r="A300" s="693">
        <v>296</v>
      </c>
      <c r="B300" s="769" t="str">
        <f t="shared" si="5"/>
        <v>Electricity output from CHP</v>
      </c>
      <c r="C300" s="769" t="s">
        <v>3337</v>
      </c>
      <c r="D300" s="1002"/>
      <c r="E300" s="1002"/>
      <c r="F300" s="1002"/>
      <c r="G300" s="1002"/>
      <c r="H300" s="1002"/>
      <c r="I300" s="1002"/>
      <c r="J300" s="1002"/>
      <c r="K300" s="1002"/>
      <c r="L300" s="1002"/>
      <c r="M300" s="1002"/>
    </row>
    <row r="301" spans="1:13" ht="12.75" x14ac:dyDescent="0.2">
      <c r="A301" s="693">
        <v>297</v>
      </c>
      <c r="B301" s="739" t="str">
        <f t="shared" si="5"/>
        <v>Inputs and outputs</v>
      </c>
      <c r="C301" s="739" t="s">
        <v>3338</v>
      </c>
      <c r="D301" s="1003"/>
      <c r="E301" s="1003"/>
      <c r="F301" s="1003"/>
      <c r="G301" s="1003"/>
      <c r="H301" s="1003"/>
      <c r="I301" s="1003"/>
      <c r="J301" s="1003"/>
      <c r="K301" s="1003"/>
      <c r="L301" s="1003"/>
      <c r="M301" s="1003"/>
    </row>
    <row r="302" spans="1:13" ht="12.75" x14ac:dyDescent="0.2">
      <c r="A302" s="693">
        <v>298</v>
      </c>
      <c r="B302" s="706" t="str">
        <f t="shared" si="5"/>
        <v>Total emissions from CHP</v>
      </c>
      <c r="C302" s="706" t="s">
        <v>3339</v>
      </c>
      <c r="D302" s="935"/>
      <c r="E302" s="935"/>
      <c r="F302" s="935"/>
      <c r="G302" s="935"/>
      <c r="H302" s="935"/>
      <c r="I302" s="935"/>
      <c r="J302" s="935"/>
      <c r="K302" s="935"/>
      <c r="L302" s="935"/>
      <c r="M302" s="935"/>
    </row>
    <row r="303" spans="1:13" x14ac:dyDescent="0.2">
      <c r="A303" s="693">
        <v>299</v>
      </c>
      <c r="B303" s="770" t="str">
        <f t="shared" si="5"/>
        <v>Values should distinguish between emissions from fuel input and from flue gas cleaning.</v>
      </c>
      <c r="C303" s="770" t="s">
        <v>3340</v>
      </c>
      <c r="D303" s="1004"/>
      <c r="E303" s="1004"/>
      <c r="F303" s="1004"/>
      <c r="G303" s="1004"/>
      <c r="H303" s="1004"/>
      <c r="I303" s="1004"/>
      <c r="J303" s="1004"/>
      <c r="K303" s="1004"/>
      <c r="L303" s="1004"/>
      <c r="M303" s="1004"/>
    </row>
    <row r="304" spans="1:13" ht="12.75" x14ac:dyDescent="0.2">
      <c r="A304" s="693">
        <v>300</v>
      </c>
      <c r="B304" s="769" t="str">
        <f t="shared" si="5"/>
        <v>From fuel input to CHP</v>
      </c>
      <c r="C304" s="769" t="s">
        <v>3341</v>
      </c>
      <c r="D304" s="1002"/>
      <c r="E304" s="1002"/>
      <c r="F304" s="1002"/>
      <c r="G304" s="1002"/>
      <c r="H304" s="1002"/>
      <c r="I304" s="1002"/>
      <c r="J304" s="1002"/>
      <c r="K304" s="1002"/>
      <c r="L304" s="1002"/>
      <c r="M304" s="1002"/>
    </row>
    <row r="305" spans="1:13" ht="12.75" x14ac:dyDescent="0.2">
      <c r="A305" s="693">
        <v>301</v>
      </c>
      <c r="B305" s="769" t="str">
        <f t="shared" si="5"/>
        <v>From flue gas cleaning</v>
      </c>
      <c r="C305" s="769" t="s">
        <v>3342</v>
      </c>
      <c r="D305" s="1002"/>
      <c r="E305" s="1002"/>
      <c r="F305" s="1002"/>
      <c r="G305" s="1002"/>
      <c r="H305" s="1002"/>
      <c r="I305" s="1002"/>
      <c r="J305" s="1002"/>
      <c r="K305" s="1002"/>
      <c r="L305" s="1002"/>
      <c r="M305" s="1002"/>
    </row>
    <row r="306" spans="1:13" ht="12.75" x14ac:dyDescent="0.2">
      <c r="A306" s="693">
        <v>302</v>
      </c>
      <c r="B306" s="739" t="str">
        <f t="shared" si="5"/>
        <v>GHG emissions</v>
      </c>
      <c r="C306" s="739" t="s">
        <v>3343</v>
      </c>
      <c r="D306" s="1003"/>
      <c r="E306" s="1003"/>
      <c r="F306" s="1003"/>
      <c r="G306" s="1003"/>
      <c r="H306" s="1003"/>
      <c r="I306" s="1003"/>
      <c r="J306" s="1003"/>
      <c r="K306" s="1003"/>
      <c r="L306" s="1003"/>
      <c r="M306" s="1003"/>
    </row>
    <row r="307" spans="1:13" ht="12.75" x14ac:dyDescent="0.2">
      <c r="A307" s="693">
        <v>303</v>
      </c>
      <c r="B307" s="740" t="str">
        <f t="shared" si="5"/>
        <v>t CO2/year</v>
      </c>
      <c r="C307" s="740" t="s">
        <v>3344</v>
      </c>
      <c r="D307" s="1005"/>
      <c r="E307" s="1005"/>
      <c r="F307" s="1005"/>
      <c r="G307" s="1005"/>
      <c r="H307" s="1005"/>
      <c r="I307" s="1005"/>
      <c r="J307" s="1005"/>
      <c r="K307" s="1005"/>
      <c r="L307" s="1005"/>
      <c r="M307" s="1005"/>
    </row>
    <row r="308" spans="1:13" ht="12.75" x14ac:dyDescent="0.2">
      <c r="A308" s="693">
        <v>304</v>
      </c>
      <c r="B308" s="706" t="str">
        <f t="shared" si="5"/>
        <v>Default efficiencies:</v>
      </c>
      <c r="C308" s="706" t="s">
        <v>3345</v>
      </c>
      <c r="D308" s="935"/>
      <c r="E308" s="935"/>
      <c r="F308" s="935"/>
      <c r="G308" s="935"/>
      <c r="H308" s="935"/>
      <c r="I308" s="935"/>
      <c r="J308" s="935"/>
      <c r="K308" s="935"/>
      <c r="L308" s="935"/>
      <c r="M308" s="935"/>
    </row>
    <row r="309" spans="1:13" ht="12.75" x14ac:dyDescent="0.2">
      <c r="A309" s="693">
        <v>305</v>
      </c>
      <c r="B309" s="741" t="str">
        <f t="shared" si="5"/>
        <v>Heat:</v>
      </c>
      <c r="C309" s="741" t="s">
        <v>3346</v>
      </c>
      <c r="D309" s="1006"/>
      <c r="E309" s="1006"/>
      <c r="F309" s="1006"/>
      <c r="G309" s="1006"/>
      <c r="H309" s="1006"/>
      <c r="I309" s="1006"/>
      <c r="J309" s="1006"/>
      <c r="K309" s="1006"/>
      <c r="L309" s="1006"/>
      <c r="M309" s="1006"/>
    </row>
    <row r="310" spans="1:13" ht="12.75" x14ac:dyDescent="0.2">
      <c r="A310" s="693">
        <v>306</v>
      </c>
      <c r="B310" s="741" t="str">
        <f t="shared" si="5"/>
        <v>Electricity:</v>
      </c>
      <c r="C310" s="741" t="s">
        <v>3347</v>
      </c>
      <c r="D310" s="1006"/>
      <c r="E310" s="1006"/>
      <c r="F310" s="1006"/>
      <c r="G310" s="1006"/>
      <c r="H310" s="1006"/>
      <c r="I310" s="1006"/>
      <c r="J310" s="1006"/>
      <c r="K310" s="1006"/>
      <c r="L310" s="1006"/>
      <c r="M310" s="1006"/>
    </row>
    <row r="311" spans="1:13" ht="12.75" x14ac:dyDescent="0.2">
      <c r="A311" s="693">
        <v>307</v>
      </c>
      <c r="B311" s="706" t="str">
        <f t="shared" si="5"/>
        <v>Efficiencies for heat and electricity</v>
      </c>
      <c r="C311" s="706" t="s">
        <v>3348</v>
      </c>
      <c r="D311" s="935"/>
      <c r="E311" s="935"/>
      <c r="F311" s="935"/>
      <c r="G311" s="935"/>
      <c r="H311" s="935"/>
      <c r="I311" s="935"/>
      <c r="J311" s="935"/>
      <c r="K311" s="935"/>
      <c r="L311" s="935"/>
      <c r="M311" s="935"/>
    </row>
    <row r="312" spans="1:13" x14ac:dyDescent="0.2">
      <c r="A312" s="693">
        <v>308</v>
      </c>
      <c r="B312" s="770" t="str">
        <f t="shared" si="5"/>
        <v>These values are dimensionless and automatically calculated from inputs in (a) to (c) above.</v>
      </c>
      <c r="C312" s="770" t="s">
        <v>3349</v>
      </c>
      <c r="D312" s="1004"/>
      <c r="E312" s="1004"/>
      <c r="F312" s="1004"/>
      <c r="G312" s="1004"/>
      <c r="H312" s="1004"/>
      <c r="I312" s="1004"/>
      <c r="J312" s="1004"/>
      <c r="K312" s="1004"/>
      <c r="L312" s="1004"/>
      <c r="M312" s="1004"/>
    </row>
    <row r="313" spans="1:13" x14ac:dyDescent="0.2">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3350</v>
      </c>
      <c r="D313" s="1004"/>
      <c r="E313" s="1004"/>
      <c r="F313" s="1004"/>
      <c r="G313" s="1004"/>
      <c r="H313" s="1004"/>
      <c r="I313" s="1004"/>
      <c r="J313" s="1004"/>
      <c r="K313" s="1004"/>
      <c r="L313" s="1004"/>
      <c r="M313" s="1004"/>
    </row>
    <row r="314" spans="1:13" ht="12.75" x14ac:dyDescent="0.2">
      <c r="A314" s="693">
        <v>310</v>
      </c>
      <c r="B314" s="769" t="str">
        <f t="shared" si="5"/>
        <v>Heat production</v>
      </c>
      <c r="C314" s="769" t="s">
        <v>3351</v>
      </c>
      <c r="D314" s="1002"/>
      <c r="E314" s="1002"/>
      <c r="F314" s="1002"/>
      <c r="G314" s="1002"/>
      <c r="H314" s="1002"/>
      <c r="I314" s="1002"/>
      <c r="J314" s="1002"/>
      <c r="K314" s="1002"/>
      <c r="L314" s="1002"/>
      <c r="M314" s="1002"/>
    </row>
    <row r="315" spans="1:13" ht="12.75" x14ac:dyDescent="0.2">
      <c r="A315" s="693">
        <v>311</v>
      </c>
      <c r="B315" s="769" t="str">
        <f t="shared" si="5"/>
        <v>Electricity production</v>
      </c>
      <c r="C315" s="769" t="s">
        <v>3352</v>
      </c>
      <c r="D315" s="1002"/>
      <c r="E315" s="1002"/>
      <c r="F315" s="1002"/>
      <c r="G315" s="1002"/>
      <c r="H315" s="1002"/>
      <c r="I315" s="1002"/>
      <c r="J315" s="1002"/>
      <c r="K315" s="1002"/>
      <c r="L315" s="1002"/>
      <c r="M315" s="1002"/>
    </row>
    <row r="316" spans="1:13" ht="12.75" x14ac:dyDescent="0.2">
      <c r="A316" s="693">
        <v>312</v>
      </c>
      <c r="B316" s="769" t="str">
        <f t="shared" si="5"/>
        <v>Total</v>
      </c>
      <c r="C316" s="769" t="s">
        <v>3353</v>
      </c>
      <c r="D316" s="1002"/>
      <c r="E316" s="1002"/>
      <c r="F316" s="1002"/>
      <c r="G316" s="1002"/>
      <c r="H316" s="1002"/>
      <c r="I316" s="1002"/>
      <c r="J316" s="1002"/>
      <c r="K316" s="1002"/>
      <c r="L316" s="1002"/>
      <c r="M316" s="1002"/>
    </row>
    <row r="317" spans="1:13" ht="12.75" x14ac:dyDescent="0.2">
      <c r="A317" s="693">
        <v>313</v>
      </c>
      <c r="B317" s="739" t="str">
        <f t="shared" si="5"/>
        <v>Efficiencies</v>
      </c>
      <c r="C317" s="739" t="s">
        <v>3354</v>
      </c>
      <c r="D317" s="1003"/>
      <c r="E317" s="1003"/>
      <c r="F317" s="1003"/>
      <c r="G317" s="1003"/>
      <c r="H317" s="1003"/>
      <c r="I317" s="1003"/>
      <c r="J317" s="1003"/>
      <c r="K317" s="1003"/>
      <c r="L317" s="1003"/>
      <c r="M317" s="1003"/>
    </row>
    <row r="318" spans="1:13" ht="12.75" x14ac:dyDescent="0.2">
      <c r="A318" s="693">
        <v>314</v>
      </c>
      <c r="B318" s="706" t="str">
        <f t="shared" si="5"/>
        <v>Reference efficiencies</v>
      </c>
      <c r="C318" s="706" t="s">
        <v>3355</v>
      </c>
      <c r="D318" s="935"/>
      <c r="E318" s="935"/>
      <c r="F318" s="935"/>
      <c r="G318" s="935"/>
      <c r="H318" s="935"/>
      <c r="I318" s="935"/>
      <c r="J318" s="935"/>
      <c r="K318" s="935"/>
      <c r="L318" s="935"/>
      <c r="M318" s="935"/>
    </row>
    <row r="319" spans="1:13" x14ac:dyDescent="0.2">
      <c r="A319" s="693">
        <v>315</v>
      </c>
      <c r="B319" s="770" t="str">
        <f t="shared" si="5"/>
        <v xml:space="preserve">These are the reference efficiency for heat production in a stand-alone boiler, and the reference efficiency of electricity production without cogeneration. </v>
      </c>
      <c r="C319" s="770" t="s">
        <v>3356</v>
      </c>
      <c r="D319" s="1004"/>
      <c r="E319" s="1004"/>
      <c r="F319" s="1004"/>
      <c r="G319" s="1004"/>
      <c r="H319" s="1004"/>
      <c r="I319" s="1004"/>
      <c r="J319" s="1004"/>
      <c r="K319" s="1004"/>
      <c r="L319" s="1004"/>
      <c r="M319" s="1004"/>
    </row>
    <row r="320" spans="1:13" x14ac:dyDescent="0.2">
      <c r="A320" s="693">
        <v>316</v>
      </c>
      <c r="B320" s="770" t="str">
        <f t="shared" si="5"/>
        <v>For the reference efficiencies the appropriate fuel-specific values from Annex IX of the Commission Implementing Regulation pursuant to Article 35(7) of the CBAM Regulation.</v>
      </c>
      <c r="C320" s="770" t="s">
        <v>3357</v>
      </c>
      <c r="D320" s="1004"/>
      <c r="E320" s="1004"/>
      <c r="F320" s="1004"/>
      <c r="G320" s="1004"/>
      <c r="H320" s="1004"/>
      <c r="I320" s="1004"/>
      <c r="J320" s="1004"/>
      <c r="K320" s="1004"/>
      <c r="L320" s="1004"/>
      <c r="M320" s="1004"/>
    </row>
    <row r="321" spans="1:13" x14ac:dyDescent="0.2">
      <c r="A321" s="693">
        <v>317</v>
      </c>
      <c r="B321" s="770" t="str">
        <f t="shared" si="5"/>
        <v>Default efficiencies below are for hard coal CHPs producing electricity and hot water.</v>
      </c>
      <c r="C321" s="770" t="s">
        <v>3358</v>
      </c>
      <c r="D321" s="1004"/>
      <c r="E321" s="1004"/>
      <c r="F321" s="1004"/>
      <c r="G321" s="1004"/>
      <c r="H321" s="1004"/>
      <c r="I321" s="1004"/>
      <c r="J321" s="1004"/>
      <c r="K321" s="1004"/>
      <c r="L321" s="1004"/>
      <c r="M321" s="1004"/>
    </row>
    <row r="322" spans="1:13" ht="12.75" x14ac:dyDescent="0.2">
      <c r="A322" s="693">
        <v>318</v>
      </c>
      <c r="B322" s="706" t="str">
        <f t="shared" si="5"/>
        <v>Emissions attributable to heat production from CHP</v>
      </c>
      <c r="C322" s="706" t="s">
        <v>3359</v>
      </c>
      <c r="D322" s="935"/>
      <c r="E322" s="935"/>
      <c r="F322" s="935"/>
      <c r="G322" s="935"/>
      <c r="H322" s="935"/>
      <c r="I322" s="935"/>
      <c r="J322" s="935"/>
      <c r="K322" s="935"/>
      <c r="L322" s="935"/>
      <c r="M322" s="935"/>
    </row>
    <row r="323" spans="1:13" x14ac:dyDescent="0.2">
      <c r="A323" s="693">
        <v>319</v>
      </c>
      <c r="B323" s="770" t="str">
        <f t="shared" si="5"/>
        <v>This is the final result of this tool. The values displayed here should be entered in sheets D or E for the attributable emissions for the appropriate production process or precursor.</v>
      </c>
      <c r="C323" s="770" t="s">
        <v>3360</v>
      </c>
      <c r="D323" s="1004"/>
      <c r="E323" s="1004"/>
      <c r="F323" s="1004"/>
      <c r="G323" s="1004"/>
      <c r="H323" s="1004"/>
      <c r="I323" s="1004"/>
      <c r="J323" s="1004"/>
      <c r="K323" s="1004"/>
      <c r="L323" s="1004"/>
      <c r="M323" s="1004"/>
    </row>
    <row r="324" spans="1:13" x14ac:dyDescent="0.2">
      <c r="A324" s="693">
        <v>320</v>
      </c>
      <c r="B324" s="770" t="str">
        <f t="shared" si="5"/>
        <v>For example, this may include attributable emissions to be taken into account for the total direct emissions, or use of the emission factor for any measurable heat imported.</v>
      </c>
      <c r="C324" s="770" t="s">
        <v>3361</v>
      </c>
      <c r="D324" s="1004"/>
      <c r="E324" s="1004"/>
      <c r="F324" s="1004"/>
      <c r="G324" s="1004"/>
      <c r="H324" s="1004"/>
      <c r="I324" s="1004"/>
      <c r="J324" s="1004"/>
      <c r="K324" s="1004"/>
      <c r="L324" s="1004"/>
      <c r="M324" s="1004"/>
    </row>
    <row r="325" spans="1:13" x14ac:dyDescent="0.2">
      <c r="A325" s="693">
        <v>321</v>
      </c>
      <c r="B325" s="770" t="str">
        <f t="shared" si="5"/>
        <v>Calculation results can only be considered correct if complete and consistent data is reported in sections above.</v>
      </c>
      <c r="C325" s="770" t="s">
        <v>3362</v>
      </c>
      <c r="D325" s="1004"/>
      <c r="E325" s="1004"/>
      <c r="F325" s="1004"/>
      <c r="G325" s="1004"/>
      <c r="H325" s="1004"/>
      <c r="I325" s="1004"/>
      <c r="J325" s="1004"/>
      <c r="K325" s="1004"/>
      <c r="L325" s="1004"/>
      <c r="M325" s="1004"/>
    </row>
    <row r="326" spans="1:13" ht="12.75" x14ac:dyDescent="0.2">
      <c r="A326" s="693">
        <v>322</v>
      </c>
      <c r="B326" s="769" t="str">
        <f t="shared" si="5"/>
        <v>Emissions attributable to heat output</v>
      </c>
      <c r="C326" s="769" t="s">
        <v>3363</v>
      </c>
      <c r="D326" s="1002"/>
      <c r="E326" s="1002"/>
      <c r="F326" s="1002"/>
      <c r="G326" s="1002"/>
      <c r="H326" s="1002"/>
      <c r="I326" s="1002"/>
      <c r="J326" s="1002"/>
      <c r="K326" s="1002"/>
      <c r="L326" s="1002"/>
      <c r="M326" s="1002"/>
    </row>
    <row r="327" spans="1:13" ht="12.75" x14ac:dyDescent="0.2">
      <c r="A327" s="693">
        <v>323</v>
      </c>
      <c r="B327" s="769" t="str">
        <f t="shared" si="5"/>
        <v>Emission factor, heat</v>
      </c>
      <c r="C327" s="769" t="s">
        <v>3364</v>
      </c>
      <c r="D327" s="1002"/>
      <c r="E327" s="1002"/>
      <c r="F327" s="1002"/>
      <c r="G327" s="1002"/>
      <c r="H327" s="1002"/>
      <c r="I327" s="1002"/>
      <c r="J327" s="1002"/>
      <c r="K327" s="1002"/>
      <c r="L327" s="1002"/>
      <c r="M327" s="1002"/>
    </row>
    <row r="328" spans="1:13" ht="12.75" x14ac:dyDescent="0.2">
      <c r="A328" s="693">
        <v>324</v>
      </c>
      <c r="B328" s="769" t="str">
        <f t="shared" si="5"/>
        <v>Emissions attributable to electricity</v>
      </c>
      <c r="C328" s="769" t="s">
        <v>3365</v>
      </c>
      <c r="D328" s="1002"/>
      <c r="E328" s="1002"/>
      <c r="F328" s="1002"/>
      <c r="G328" s="1002"/>
      <c r="H328" s="1002"/>
      <c r="I328" s="1002"/>
      <c r="J328" s="1002"/>
      <c r="K328" s="1002"/>
      <c r="L328" s="1002"/>
      <c r="M328" s="1002"/>
    </row>
    <row r="329" spans="1:13" ht="12.75" x14ac:dyDescent="0.2">
      <c r="A329" s="693">
        <v>325</v>
      </c>
      <c r="B329" s="769" t="str">
        <f t="shared" si="5"/>
        <v>Emission factor, electricity</v>
      </c>
      <c r="C329" s="769" t="s">
        <v>3366</v>
      </c>
      <c r="D329" s="1002"/>
      <c r="E329" s="1002"/>
      <c r="F329" s="1002"/>
      <c r="G329" s="1002"/>
      <c r="H329" s="1002"/>
      <c r="I329" s="1002"/>
      <c r="J329" s="1002"/>
      <c r="K329" s="1002"/>
      <c r="L329" s="1002"/>
      <c r="M329" s="1002"/>
    </row>
    <row r="330" spans="1:13" ht="12.75" x14ac:dyDescent="0.2">
      <c r="A330" s="693">
        <v>326</v>
      </c>
      <c r="B330" s="739" t="str">
        <f t="shared" si="5"/>
        <v>Attributable emissions</v>
      </c>
      <c r="C330" s="739" t="s">
        <v>3367</v>
      </c>
      <c r="D330" s="1003"/>
      <c r="E330" s="1003"/>
      <c r="F330" s="1003"/>
      <c r="G330" s="1003"/>
      <c r="H330" s="1003"/>
      <c r="I330" s="1003"/>
      <c r="J330" s="1003"/>
      <c r="K330" s="1003"/>
      <c r="L330" s="1003"/>
      <c r="M330" s="1003"/>
    </row>
    <row r="331" spans="1:13" ht="12.75" x14ac:dyDescent="0.2">
      <c r="A331" s="693">
        <v>327</v>
      </c>
      <c r="B331" s="706" t="str">
        <f t="shared" ref="B331:B394" si="6">IFERROR(INDEX(C331:M331,$A$4-2),$C331)</f>
        <v>Fuel input attributable to heat and electricity production</v>
      </c>
      <c r="C331" s="706" t="s">
        <v>3368</v>
      </c>
      <c r="D331" s="935"/>
      <c r="E331" s="935"/>
      <c r="F331" s="935"/>
      <c r="G331" s="935"/>
      <c r="H331" s="935"/>
      <c r="I331" s="935"/>
      <c r="J331" s="935"/>
      <c r="K331" s="935"/>
      <c r="L331" s="935"/>
      <c r="M331" s="935"/>
    </row>
    <row r="332" spans="1:13" x14ac:dyDescent="0.2">
      <c r="A332" s="693">
        <v>328</v>
      </c>
      <c r="B332" s="770" t="str">
        <f t="shared" si="6"/>
        <v>This is the final result of this tool. The values displayed here should be used in section C.1.</v>
      </c>
      <c r="C332" s="770" t="s">
        <v>3369</v>
      </c>
      <c r="D332" s="1004"/>
      <c r="E332" s="1004"/>
      <c r="F332" s="1004"/>
      <c r="G332" s="1004"/>
      <c r="H332" s="1004"/>
      <c r="I332" s="1004"/>
      <c r="J332" s="1004"/>
      <c r="K332" s="1004"/>
      <c r="L332" s="1004"/>
      <c r="M332" s="1004"/>
    </row>
    <row r="333" spans="1:13" ht="12.75" x14ac:dyDescent="0.2">
      <c r="A333" s="693">
        <v>329</v>
      </c>
      <c r="B333" s="769" t="str">
        <f t="shared" si="6"/>
        <v>Fuel input for heat</v>
      </c>
      <c r="C333" s="769" t="s">
        <v>3370</v>
      </c>
      <c r="D333" s="1002"/>
      <c r="E333" s="1002"/>
      <c r="F333" s="1002"/>
      <c r="G333" s="1002"/>
      <c r="H333" s="1002"/>
      <c r="I333" s="1002"/>
      <c r="J333" s="1002"/>
      <c r="K333" s="1002"/>
      <c r="L333" s="1002"/>
      <c r="M333" s="1002"/>
    </row>
    <row r="334" spans="1:13" ht="12.75" x14ac:dyDescent="0.2">
      <c r="A334" s="693">
        <v>330</v>
      </c>
      <c r="B334" s="769" t="str">
        <f t="shared" si="6"/>
        <v>Fuel input for electricity</v>
      </c>
      <c r="C334" s="769" t="s">
        <v>3371</v>
      </c>
      <c r="D334" s="1002"/>
      <c r="E334" s="1002"/>
      <c r="F334" s="1002"/>
      <c r="G334" s="1002"/>
      <c r="H334" s="1002"/>
      <c r="I334" s="1002"/>
      <c r="J334" s="1002"/>
      <c r="K334" s="1002"/>
      <c r="L334" s="1002"/>
      <c r="M334" s="1002"/>
    </row>
    <row r="335" spans="1:13" ht="12.75" x14ac:dyDescent="0.2">
      <c r="A335" s="693">
        <v>331</v>
      </c>
      <c r="B335" s="739" t="str">
        <f t="shared" si="6"/>
        <v>Attributable fuel input</v>
      </c>
      <c r="C335" s="739" t="s">
        <v>3372</v>
      </c>
      <c r="D335" s="1003"/>
      <c r="E335" s="1003"/>
      <c r="F335" s="1003"/>
      <c r="G335" s="1003"/>
      <c r="H335" s="1003"/>
      <c r="I335" s="1003"/>
      <c r="J335" s="1003"/>
      <c r="K335" s="1003"/>
      <c r="L335" s="1003"/>
      <c r="M335" s="1003"/>
    </row>
    <row r="336" spans="1:13" ht="15.75" x14ac:dyDescent="0.2">
      <c r="A336" s="693">
        <v>332</v>
      </c>
      <c r="B336" s="315" t="str">
        <f t="shared" si="6"/>
        <v>Tool to calculate the carbon price due</v>
      </c>
      <c r="C336" s="315" t="s">
        <v>3373</v>
      </c>
      <c r="D336" s="939"/>
      <c r="E336" s="939"/>
      <c r="F336" s="939"/>
      <c r="G336" s="939"/>
      <c r="H336" s="939"/>
      <c r="I336" s="939"/>
      <c r="J336" s="939"/>
      <c r="K336" s="939"/>
      <c r="L336" s="939"/>
      <c r="M336" s="939"/>
    </row>
    <row r="337" spans="1:13" ht="12.75" x14ac:dyDescent="0.2">
      <c r="A337" s="693">
        <v>333</v>
      </c>
      <c r="B337" s="162" t="str">
        <f t="shared" si="6"/>
        <v>Tool for carbon price due</v>
      </c>
      <c r="C337" s="162" t="s">
        <v>3374</v>
      </c>
      <c r="D337" s="940"/>
      <c r="E337" s="940"/>
      <c r="F337" s="940"/>
      <c r="G337" s="940"/>
      <c r="H337" s="940"/>
      <c r="I337" s="940"/>
      <c r="J337" s="940"/>
      <c r="K337" s="940"/>
      <c r="L337" s="940"/>
      <c r="M337" s="940"/>
    </row>
    <row r="338" spans="1:13" x14ac:dyDescent="0.2">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3375</v>
      </c>
      <c r="D338" s="999"/>
      <c r="E338" s="999"/>
      <c r="F338" s="999"/>
      <c r="G338" s="999"/>
      <c r="H338" s="999"/>
      <c r="I338" s="999"/>
      <c r="J338" s="999"/>
      <c r="K338" s="999"/>
      <c r="L338" s="999"/>
      <c r="M338" s="999"/>
    </row>
    <row r="339" spans="1:13" x14ac:dyDescent="0.2">
      <c r="A339" s="693">
        <v>335</v>
      </c>
      <c r="B339" s="767" t="str">
        <f t="shared" si="6"/>
        <v>The results obtained here in columns L and M have to be manually entered into the respective fields in sheet "Summary_Products".</v>
      </c>
      <c r="C339" s="767" t="s">
        <v>3376</v>
      </c>
      <c r="D339" s="999"/>
      <c r="E339" s="999"/>
      <c r="F339" s="999"/>
      <c r="G339" s="999"/>
      <c r="H339" s="999"/>
      <c r="I339" s="999"/>
      <c r="J339" s="999"/>
      <c r="K339" s="999"/>
      <c r="L339" s="999"/>
      <c r="M339" s="999"/>
    </row>
    <row r="340" spans="1:13" x14ac:dyDescent="0.2">
      <c r="A340" s="693">
        <v>336</v>
      </c>
      <c r="B340" s="767" t="str">
        <f t="shared" si="6"/>
        <v>The following conditions apply:</v>
      </c>
      <c r="C340" s="767" t="s">
        <v>3377</v>
      </c>
      <c r="D340" s="999"/>
      <c r="E340" s="999"/>
      <c r="F340" s="999"/>
      <c r="G340" s="999"/>
      <c r="H340" s="999"/>
      <c r="I340" s="999"/>
      <c r="J340" s="999"/>
      <c r="K340" s="999"/>
      <c r="L340" s="999"/>
      <c r="M340" s="999"/>
    </row>
    <row r="341" spans="1:13" x14ac:dyDescent="0.2">
      <c r="A341" s="693">
        <v>337</v>
      </c>
      <c r="B341" s="771" t="str">
        <f t="shared" si="6"/>
        <v>- the carbon price used for each production process has to be converted into one common currency.</v>
      </c>
      <c r="C341" s="771" t="s">
        <v>3378</v>
      </c>
      <c r="D341" s="1007"/>
      <c r="E341" s="1007"/>
      <c r="F341" s="1007"/>
      <c r="G341" s="1007"/>
      <c r="H341" s="1007"/>
      <c r="I341" s="1007"/>
      <c r="J341" s="1007"/>
      <c r="K341" s="1007"/>
      <c r="L341" s="1007"/>
      <c r="M341" s="1007"/>
    </row>
    <row r="342" spans="1:13" x14ac:dyDescent="0.2">
      <c r="A342" s="693">
        <v>338</v>
      </c>
      <c r="B342" s="771" t="str">
        <f t="shared" si="6"/>
        <v>- the system boundaries of carbon pricing have to be consistent with the boundaries of the production process and precursors.</v>
      </c>
      <c r="C342" s="771" t="s">
        <v>3379</v>
      </c>
      <c r="D342" s="1007"/>
      <c r="E342" s="1007"/>
      <c r="F342" s="1007"/>
      <c r="G342" s="1007"/>
      <c r="H342" s="1007"/>
      <c r="I342" s="1007"/>
      <c r="J342" s="1007"/>
      <c r="K342" s="1007"/>
      <c r="L342" s="1007"/>
      <c r="M342" s="1007"/>
    </row>
    <row r="343" spans="1:13" x14ac:dyDescent="0.2">
      <c r="A343" s="693">
        <v>339</v>
      </c>
      <c r="B343" s="767" t="str">
        <f t="shared" si="6"/>
        <v>If the conditions above are not satisfied, this tool can only be used to support you with the calculation of the carbon price, but results cannot be used directly.</v>
      </c>
      <c r="C343" s="767" t="s">
        <v>3380</v>
      </c>
      <c r="D343" s="999"/>
      <c r="E343" s="999"/>
      <c r="F343" s="999"/>
      <c r="G343" s="999"/>
      <c r="H343" s="999"/>
      <c r="I343" s="999"/>
      <c r="J343" s="999"/>
      <c r="K343" s="999"/>
      <c r="L343" s="999"/>
      <c r="M343" s="999"/>
    </row>
    <row r="344" spans="1:13" x14ac:dyDescent="0.2">
      <c r="A344" s="693">
        <v>340</v>
      </c>
      <c r="B344" s="772" t="str">
        <f t="shared" si="6"/>
        <v>SEE (total)</v>
      </c>
      <c r="C344" s="772" t="s">
        <v>1396</v>
      </c>
      <c r="D344" s="1008"/>
      <c r="E344" s="1008"/>
      <c r="F344" s="1008"/>
      <c r="G344" s="1008"/>
      <c r="H344" s="1008"/>
      <c r="I344" s="1008"/>
      <c r="J344" s="1008"/>
      <c r="K344" s="1008"/>
      <c r="L344" s="1008"/>
      <c r="M344" s="1008"/>
    </row>
    <row r="345" spans="1:13" x14ac:dyDescent="0.2">
      <c r="A345" s="693">
        <v>341</v>
      </c>
      <c r="B345" s="772" t="str">
        <f t="shared" si="6"/>
        <v>Total (direct + indirect) specific embedded emissions of the production process, i.e. including any embedded emissions from any precursors consumed in the process.</v>
      </c>
      <c r="C345" s="772" t="s">
        <v>3381</v>
      </c>
      <c r="D345" s="1008"/>
      <c r="E345" s="1008"/>
      <c r="F345" s="1008"/>
      <c r="G345" s="1008"/>
      <c r="H345" s="1008"/>
      <c r="I345" s="1008"/>
      <c r="J345" s="1008"/>
      <c r="K345" s="1008"/>
      <c r="L345" s="1008"/>
      <c r="M345" s="1008"/>
    </row>
    <row r="346" spans="1:13" x14ac:dyDescent="0.2">
      <c r="A346" s="693">
        <v>342</v>
      </c>
      <c r="B346" s="773" t="str">
        <f t="shared" si="6"/>
        <v>Share of emissions covered by the carbon price</v>
      </c>
      <c r="C346" s="773" t="s">
        <v>3382</v>
      </c>
      <c r="D346" s="1009"/>
      <c r="E346" s="1009"/>
      <c r="F346" s="1009"/>
      <c r="G346" s="1009"/>
      <c r="H346" s="1009"/>
      <c r="I346" s="1009"/>
      <c r="J346" s="1009"/>
      <c r="K346" s="1009"/>
      <c r="L346" s="1009"/>
      <c r="M346" s="1009"/>
    </row>
    <row r="347" spans="1:13" x14ac:dyDescent="0.2">
      <c r="A347" s="693">
        <v>343</v>
      </c>
      <c r="B347" s="773" t="str">
        <f t="shared" si="6"/>
        <v>Carbon price (CP) due</v>
      </c>
      <c r="C347" s="773" t="s">
        <v>3383</v>
      </c>
      <c r="D347" s="1009"/>
      <c r="E347" s="1009"/>
      <c r="F347" s="1009"/>
      <c r="G347" s="1009"/>
      <c r="H347" s="1009"/>
      <c r="I347" s="1009"/>
      <c r="J347" s="1009"/>
      <c r="K347" s="1009"/>
      <c r="L347" s="1009"/>
      <c r="M347" s="1009"/>
    </row>
    <row r="348" spans="1:13" x14ac:dyDescent="0.2">
      <c r="A348" s="693">
        <v>344</v>
      </c>
      <c r="B348" s="774" t="str">
        <f t="shared" si="6"/>
        <v>Amount of rebate (local currency)</v>
      </c>
      <c r="C348" s="774" t="s">
        <v>1431</v>
      </c>
      <c r="D348" s="1010"/>
      <c r="E348" s="1010"/>
      <c r="F348" s="1010"/>
      <c r="G348" s="1010"/>
      <c r="H348" s="1010"/>
      <c r="I348" s="1010"/>
      <c r="J348" s="1010"/>
      <c r="K348" s="1010"/>
      <c r="L348" s="1010"/>
      <c r="M348" s="1010"/>
    </row>
    <row r="349" spans="1:13" x14ac:dyDescent="0.2">
      <c r="A349" s="693">
        <v>345</v>
      </c>
      <c r="B349" s="896" t="str">
        <f t="shared" si="6"/>
        <v>Covered SEE</v>
      </c>
      <c r="C349" s="896" t="s">
        <v>3384</v>
      </c>
      <c r="D349" s="1011"/>
      <c r="E349" s="1011"/>
      <c r="F349" s="1011"/>
      <c r="G349" s="1011"/>
      <c r="H349" s="1011"/>
      <c r="I349" s="1011"/>
      <c r="J349" s="1011"/>
      <c r="K349" s="1011"/>
      <c r="L349" s="1011"/>
      <c r="M349" s="1011"/>
    </row>
    <row r="350" spans="1:13" x14ac:dyDescent="0.2">
      <c r="A350" s="693">
        <v>346</v>
      </c>
      <c r="B350" s="896" t="str">
        <f t="shared" si="6"/>
        <v>Carbon price (CP) due (local currency)</v>
      </c>
      <c r="C350" s="896" t="s">
        <v>1427</v>
      </c>
      <c r="D350" s="1011"/>
      <c r="E350" s="1011"/>
      <c r="F350" s="1011"/>
      <c r="G350" s="1011"/>
      <c r="H350" s="1011"/>
      <c r="I350" s="1011"/>
      <c r="J350" s="1011"/>
      <c r="K350" s="1011"/>
      <c r="L350" s="1011"/>
      <c r="M350" s="1011"/>
    </row>
    <row r="351" spans="1:13" x14ac:dyDescent="0.2">
      <c r="A351" s="693">
        <v>347</v>
      </c>
      <c r="B351" s="896" t="str">
        <f t="shared" si="6"/>
        <v>CP due (per t or MWh)</v>
      </c>
      <c r="C351" s="896" t="s">
        <v>3385</v>
      </c>
      <c r="D351" s="1011"/>
      <c r="E351" s="1011"/>
      <c r="F351" s="1011"/>
      <c r="G351" s="1011"/>
      <c r="H351" s="1011"/>
      <c r="I351" s="1011"/>
      <c r="J351" s="1011"/>
      <c r="K351" s="1011"/>
      <c r="L351" s="1011"/>
      <c r="M351" s="1011"/>
    </row>
    <row r="352" spans="1:13" x14ac:dyDescent="0.2">
      <c r="A352" s="693">
        <v>348</v>
      </c>
      <c r="B352" s="896" t="str">
        <f t="shared" si="6"/>
        <v>Rebate (per t or MWh)</v>
      </c>
      <c r="C352" s="896" t="s">
        <v>3386</v>
      </c>
      <c r="D352" s="1011"/>
      <c r="E352" s="1011"/>
      <c r="F352" s="1011"/>
      <c r="G352" s="1011"/>
      <c r="H352" s="1011"/>
      <c r="I352" s="1011"/>
      <c r="J352" s="1011"/>
      <c r="K352" s="1011"/>
      <c r="L352" s="1011"/>
      <c r="M352" s="1011"/>
    </row>
    <row r="353" spans="1:13" ht="12.75" thickBot="1" x14ac:dyDescent="0.25">
      <c r="A353" s="693">
        <v>349</v>
      </c>
      <c r="B353" s="775" t="str">
        <f t="shared" si="6"/>
        <v>Result: Effective CP due</v>
      </c>
      <c r="C353" s="775" t="s">
        <v>1432</v>
      </c>
      <c r="D353" s="1012"/>
      <c r="E353" s="1012"/>
      <c r="F353" s="1012"/>
      <c r="G353" s="1012"/>
      <c r="H353" s="1012"/>
      <c r="I353" s="1012"/>
      <c r="J353" s="1012"/>
      <c r="K353" s="1012"/>
      <c r="L353" s="1012"/>
      <c r="M353" s="1012"/>
    </row>
    <row r="354" spans="1:13" ht="12.75" x14ac:dyDescent="0.2">
      <c r="A354" s="693">
        <v>350</v>
      </c>
      <c r="B354" s="754" t="str">
        <f t="shared" si="6"/>
        <v>Further Guidance</v>
      </c>
      <c r="C354" s="754" t="s">
        <v>3387</v>
      </c>
      <c r="D354" s="929"/>
      <c r="E354" s="929"/>
      <c r="F354" s="929"/>
      <c r="G354" s="929"/>
      <c r="H354" s="929"/>
      <c r="I354" s="929"/>
      <c r="J354" s="929"/>
      <c r="K354" s="929"/>
      <c r="L354" s="929"/>
      <c r="M354" s="929"/>
    </row>
    <row r="355" spans="1:13" ht="18" x14ac:dyDescent="0.2">
      <c r="A355" s="693">
        <v>351</v>
      </c>
      <c r="B355" s="316" t="str">
        <f t="shared" si="6"/>
        <v>Sheet "G_FurtherGuidance" - Further guidance on specific sections in this template</v>
      </c>
      <c r="C355" s="316" t="s">
        <v>3388</v>
      </c>
      <c r="D355" s="931"/>
      <c r="E355" s="931"/>
      <c r="F355" s="931"/>
      <c r="G355" s="931"/>
      <c r="H355" s="931"/>
      <c r="I355" s="931"/>
      <c r="J355" s="931"/>
      <c r="K355" s="931"/>
      <c r="L355" s="931"/>
      <c r="M355" s="931"/>
    </row>
    <row r="356" spans="1:13" ht="15.75" x14ac:dyDescent="0.2">
      <c r="A356" s="693">
        <v>352</v>
      </c>
      <c r="B356" s="315" t="str">
        <f t="shared" si="6"/>
        <v>General guidance</v>
      </c>
      <c r="C356" s="315" t="s">
        <v>3389</v>
      </c>
      <c r="D356" s="939"/>
      <c r="E356" s="939"/>
      <c r="F356" s="939"/>
      <c r="G356" s="939"/>
      <c r="H356" s="939"/>
      <c r="I356" s="939"/>
      <c r="J356" s="939"/>
      <c r="K356" s="939"/>
      <c r="L356" s="939"/>
      <c r="M356" s="939"/>
    </row>
    <row r="357" spans="1:13" x14ac:dyDescent="0.2">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3390</v>
      </c>
      <c r="D357" s="1013"/>
      <c r="E357" s="1013"/>
      <c r="F357" s="1013"/>
      <c r="G357" s="1013"/>
      <c r="H357" s="1013"/>
      <c r="I357" s="1013"/>
      <c r="J357" s="1013"/>
      <c r="K357" s="1013"/>
      <c r="L357" s="1013"/>
      <c r="M357" s="1013"/>
    </row>
    <row r="358" spans="1:13" x14ac:dyDescent="0.2">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3391</v>
      </c>
      <c r="D358" s="1013"/>
      <c r="E358" s="1013"/>
      <c r="F358" s="1013"/>
      <c r="G358" s="1013"/>
      <c r="H358" s="1013"/>
      <c r="I358" s="1013"/>
      <c r="J358" s="1013"/>
      <c r="K358" s="1013"/>
      <c r="L358" s="1013"/>
      <c r="M358" s="1013"/>
    </row>
    <row r="359" spans="1:13" x14ac:dyDescent="0.2">
      <c r="A359" s="693">
        <v>355</v>
      </c>
      <c r="B359" s="767" t="str">
        <f t="shared" si="6"/>
        <v>You can also find further guidance, including examples, in the guidance document published on the European Commission's website, which can be found here:</v>
      </c>
      <c r="C359" s="767" t="s">
        <v>3392</v>
      </c>
      <c r="D359" s="999"/>
      <c r="E359" s="999"/>
      <c r="F359" s="999"/>
      <c r="G359" s="999"/>
      <c r="H359" s="999"/>
      <c r="I359" s="999"/>
      <c r="J359" s="999"/>
      <c r="K359" s="999"/>
      <c r="L359" s="999"/>
      <c r="M359" s="999"/>
    </row>
    <row r="360" spans="1:13" x14ac:dyDescent="0.2">
      <c r="A360" s="693">
        <v>356</v>
      </c>
      <c r="B360" s="767" t="str">
        <f t="shared" si="6"/>
        <v>In sheet "B_EmInst" the energy content and the greenhouse gas (GHG) emissions are calculated for each source stream and emission source.</v>
      </c>
      <c r="C360" s="767" t="s">
        <v>3393</v>
      </c>
      <c r="D360" s="999"/>
      <c r="E360" s="999"/>
      <c r="F360" s="999"/>
      <c r="G360" s="999"/>
      <c r="H360" s="999"/>
      <c r="I360" s="999"/>
      <c r="J360" s="999"/>
      <c r="K360" s="999"/>
      <c r="L360" s="999"/>
      <c r="M360" s="999"/>
    </row>
    <row r="361" spans="1:13" x14ac:dyDescent="0.2">
      <c r="A361" s="693">
        <v>357</v>
      </c>
      <c r="B361" s="767" t="str">
        <f t="shared" si="6"/>
        <v>At the top of each block in that sheet you can find examples on how to complete data inputs in order to calculate the corresponding emissions for each source stream and emission source.</v>
      </c>
      <c r="C361" s="767" t="s">
        <v>3394</v>
      </c>
      <c r="D361" s="999"/>
      <c r="E361" s="999"/>
      <c r="F361" s="999"/>
      <c r="G361" s="999"/>
      <c r="H361" s="999"/>
      <c r="I361" s="999"/>
      <c r="J361" s="999"/>
      <c r="K361" s="999"/>
      <c r="L361" s="999"/>
      <c r="M361" s="999"/>
    </row>
    <row r="362" spans="1:13" x14ac:dyDescent="0.2">
      <c r="A362" s="693">
        <v>358</v>
      </c>
      <c r="B362" s="767" t="str">
        <f t="shared" si="6"/>
        <v>Guidance on each parameter below aims to help you with filling all input fields in sheet "B_EmInst".</v>
      </c>
      <c r="C362" s="767" t="s">
        <v>3395</v>
      </c>
      <c r="D362" s="999"/>
      <c r="E362" s="999"/>
      <c r="F362" s="999"/>
      <c r="G362" s="999"/>
      <c r="H362" s="999"/>
      <c r="I362" s="999"/>
      <c r="J362" s="999"/>
      <c r="K362" s="999"/>
      <c r="L362" s="999"/>
      <c r="M362" s="999"/>
    </row>
    <row r="363" spans="1:13" x14ac:dyDescent="0.2">
      <c r="A363" s="693">
        <v>359</v>
      </c>
      <c r="B363" s="777" t="str">
        <f t="shared" si="6"/>
        <v>Source streams (excluding PFC emissions)</v>
      </c>
      <c r="C363" s="777" t="s">
        <v>3396</v>
      </c>
      <c r="D363" s="1014"/>
      <c r="E363" s="1014"/>
      <c r="F363" s="1014"/>
      <c r="G363" s="1014"/>
      <c r="H363" s="1014"/>
      <c r="I363" s="1014"/>
      <c r="J363" s="1014"/>
      <c r="K363" s="1014"/>
      <c r="L363" s="1014"/>
      <c r="M363" s="1014"/>
    </row>
    <row r="364" spans="1:13" x14ac:dyDescent="0.2">
      <c r="A364" s="693">
        <v>360</v>
      </c>
      <c r="B364" s="773" t="str">
        <f t="shared" si="6"/>
        <v>Please select from the drop-down list the monitoring method applied for the relevant source stream: "combustion", "process emissions" or "mass balance".</v>
      </c>
      <c r="C364" s="773" t="s">
        <v>3397</v>
      </c>
      <c r="D364" s="1009"/>
      <c r="E364" s="1009"/>
      <c r="F364" s="1009"/>
      <c r="G364" s="1009"/>
      <c r="H364" s="1009"/>
      <c r="I364" s="1009"/>
      <c r="J364" s="1009"/>
      <c r="K364" s="1009"/>
      <c r="L364" s="1009"/>
      <c r="M364" s="1009"/>
    </row>
    <row r="365" spans="1:13" x14ac:dyDescent="0.2">
      <c r="A365" s="693">
        <v>361</v>
      </c>
      <c r="B365" s="773" t="str">
        <f t="shared" si="6"/>
        <v>Please enter here the name of the source stream, e.g. coal, natural gas, clinker raw meal, limestone, iron ore, steel, scrap iron, scrap aluminium.</v>
      </c>
      <c r="C365" s="773" t="s">
        <v>3398</v>
      </c>
      <c r="D365" s="1009"/>
      <c r="E365" s="1009"/>
      <c r="F365" s="1009"/>
      <c r="G365" s="1009"/>
      <c r="H365" s="1009"/>
      <c r="I365" s="1009"/>
      <c r="J365" s="1009"/>
      <c r="K365" s="1009"/>
      <c r="L365" s="1009"/>
      <c r="M365" s="1009"/>
    </row>
    <row r="366" spans="1:13" x14ac:dyDescent="0.2">
      <c r="A366" s="693">
        <v>362</v>
      </c>
      <c r="B366" s="773" t="str">
        <f t="shared" si="6"/>
        <v>Activity data (AD)</v>
      </c>
      <c r="C366" s="773" t="s">
        <v>3176</v>
      </c>
      <c r="D366" s="1009"/>
      <c r="E366" s="1009"/>
      <c r="F366" s="1009"/>
      <c r="G366" s="1009"/>
      <c r="H366" s="1009"/>
      <c r="I366" s="1009"/>
      <c r="J366" s="1009"/>
      <c r="K366" s="1009"/>
      <c r="L366" s="1009"/>
      <c r="M366" s="1009"/>
    </row>
    <row r="367" spans="1:13" x14ac:dyDescent="0.2">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3399</v>
      </c>
      <c r="D367" s="1009"/>
      <c r="E367" s="1009"/>
      <c r="F367" s="1009"/>
      <c r="G367" s="1009"/>
      <c r="H367" s="1009"/>
      <c r="I367" s="1009"/>
      <c r="J367" s="1009"/>
      <c r="K367" s="1009"/>
      <c r="L367" s="1009"/>
      <c r="M367" s="1009"/>
    </row>
    <row r="368" spans="1:13" x14ac:dyDescent="0.2">
      <c r="A368" s="693">
        <v>364</v>
      </c>
      <c r="B368" s="773" t="str">
        <f t="shared" si="6"/>
        <v>AD unit</v>
      </c>
      <c r="C368" s="773" t="s">
        <v>3400</v>
      </c>
      <c r="D368" s="1009"/>
      <c r="E368" s="1009"/>
      <c r="F368" s="1009"/>
      <c r="G368" s="1009"/>
      <c r="H368" s="1009"/>
      <c r="I368" s="1009"/>
      <c r="J368" s="1009"/>
      <c r="K368" s="1009"/>
      <c r="L368" s="1009"/>
      <c r="M368" s="1009"/>
    </row>
    <row r="369" spans="1:13" x14ac:dyDescent="0.2">
      <c r="A369" s="693">
        <v>365</v>
      </c>
      <c r="B369" s="773" t="str">
        <f t="shared" si="6"/>
        <v>The corresponding units in which the amounts above are provided. For example tonnes (t) for mass or normal cubic metres (Nm³) for gases.</v>
      </c>
      <c r="C369" s="773" t="s">
        <v>3401</v>
      </c>
      <c r="D369" s="1009"/>
      <c r="E369" s="1009"/>
      <c r="F369" s="1009"/>
      <c r="G369" s="1009"/>
      <c r="H369" s="1009"/>
      <c r="I369" s="1009"/>
      <c r="J369" s="1009"/>
      <c r="K369" s="1009"/>
      <c r="L369" s="1009"/>
      <c r="M369" s="1009"/>
    </row>
    <row r="370" spans="1:13" x14ac:dyDescent="0.2">
      <c r="A370" s="693">
        <v>366</v>
      </c>
      <c r="B370" s="773" t="str">
        <f t="shared" si="6"/>
        <v>(prelim) EF</v>
      </c>
      <c r="C370" s="773" t="s">
        <v>3402</v>
      </c>
      <c r="D370" s="1009"/>
      <c r="E370" s="1009"/>
      <c r="F370" s="1009"/>
      <c r="G370" s="1009"/>
      <c r="H370" s="1009"/>
      <c r="I370" s="1009"/>
      <c r="J370" s="1009"/>
      <c r="K370" s="1009"/>
      <c r="L370" s="1009"/>
      <c r="M370" s="1009"/>
    </row>
    <row r="371" spans="1:13" x14ac:dyDescent="0.2">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3403</v>
      </c>
      <c r="D371" s="1009"/>
      <c r="E371" s="1009"/>
      <c r="F371" s="1009"/>
      <c r="G371" s="1009"/>
      <c r="H371" s="1009"/>
      <c r="I371" s="1009"/>
      <c r="J371" s="1009"/>
      <c r="K371" s="1009"/>
      <c r="L371" s="1009"/>
      <c r="M371" s="1009"/>
    </row>
    <row r="372" spans="1:13" x14ac:dyDescent="0.2">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3404</v>
      </c>
      <c r="D372" s="1009"/>
      <c r="E372" s="1009"/>
      <c r="F372" s="1009"/>
      <c r="G372" s="1009"/>
      <c r="H372" s="1009"/>
      <c r="I372" s="1009"/>
      <c r="J372" s="1009"/>
      <c r="K372" s="1009"/>
      <c r="L372" s="1009"/>
      <c r="M372" s="1009"/>
    </row>
    <row r="373" spans="1:13" x14ac:dyDescent="0.2">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3405</v>
      </c>
      <c r="D373" s="1009"/>
      <c r="E373" s="1009"/>
      <c r="F373" s="1009"/>
      <c r="G373" s="1009"/>
      <c r="H373" s="1009"/>
      <c r="I373" s="1009"/>
      <c r="J373" s="1009"/>
      <c r="K373" s="1009"/>
      <c r="L373" s="1009"/>
      <c r="M373" s="1009"/>
    </row>
    <row r="374" spans="1:13" x14ac:dyDescent="0.2">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3406</v>
      </c>
      <c r="D374" s="1009"/>
      <c r="E374" s="1009"/>
      <c r="F374" s="1009"/>
      <c r="G374" s="1009"/>
      <c r="H374" s="1009"/>
      <c r="I374" s="1009"/>
      <c r="J374" s="1009"/>
      <c r="K374" s="1009"/>
      <c r="L374" s="1009"/>
      <c r="M374" s="1009"/>
    </row>
    <row r="375" spans="1:13" x14ac:dyDescent="0.2">
      <c r="A375" s="693">
        <v>371</v>
      </c>
      <c r="B375" s="773" t="str">
        <f t="shared" si="6"/>
        <v>CarbC</v>
      </c>
      <c r="C375" s="773" t="s">
        <v>3407</v>
      </c>
      <c r="D375" s="1009"/>
      <c r="E375" s="1009"/>
      <c r="F375" s="1009"/>
      <c r="G375" s="1009"/>
      <c r="H375" s="1009"/>
      <c r="I375" s="1009"/>
      <c r="J375" s="1009"/>
      <c r="K375" s="1009"/>
      <c r="L375" s="1009"/>
      <c r="M375" s="1009"/>
    </row>
    <row r="376" spans="1:13" x14ac:dyDescent="0.2">
      <c r="A376" s="693">
        <v>372</v>
      </c>
      <c r="B376" s="773" t="str">
        <f t="shared" si="6"/>
        <v>The carbon content of the fuel or material.</v>
      </c>
      <c r="C376" s="773" t="s">
        <v>3408</v>
      </c>
      <c r="D376" s="1009"/>
      <c r="E376" s="1009"/>
      <c r="F376" s="1009"/>
      <c r="G376" s="1009"/>
      <c r="H376" s="1009"/>
      <c r="I376" s="1009"/>
      <c r="J376" s="1009"/>
      <c r="K376" s="1009"/>
      <c r="L376" s="1009"/>
      <c r="M376" s="1009"/>
    </row>
    <row r="377" spans="1:13" x14ac:dyDescent="0.2">
      <c r="A377" s="693">
        <v>373</v>
      </c>
      <c r="B377" s="773" t="str">
        <f t="shared" si="6"/>
        <v>BioC</v>
      </c>
      <c r="C377" s="773" t="s">
        <v>3409</v>
      </c>
      <c r="D377" s="1009"/>
      <c r="E377" s="1009"/>
      <c r="F377" s="1009"/>
      <c r="G377" s="1009"/>
      <c r="H377" s="1009"/>
      <c r="I377" s="1009"/>
      <c r="J377" s="1009"/>
      <c r="K377" s="1009"/>
      <c r="L377" s="1009"/>
      <c r="M377" s="1009"/>
    </row>
    <row r="378" spans="1:13" x14ac:dyDescent="0.2">
      <c r="A378" s="693">
        <v>374</v>
      </c>
      <c r="B378" s="773" t="str">
        <f t="shared" si="6"/>
        <v>The biomass fraction is the ratio of carbon stemming from biomass to the total carbon content of a fuel or material, expressed as percentage.</v>
      </c>
      <c r="C378" s="773" t="s">
        <v>3410</v>
      </c>
      <c r="D378" s="1009"/>
      <c r="E378" s="1009"/>
      <c r="F378" s="1009"/>
      <c r="G378" s="1009"/>
      <c r="H378" s="1009"/>
      <c r="I378" s="1009"/>
      <c r="J378" s="1009"/>
      <c r="K378" s="1009"/>
      <c r="L378" s="1009"/>
      <c r="M378" s="1009"/>
    </row>
    <row r="379" spans="1:13" x14ac:dyDescent="0.2">
      <c r="A379" s="693">
        <v>375</v>
      </c>
      <c r="B379" s="773" t="str">
        <f t="shared" si="6"/>
        <v>Further columns greyed out</v>
      </c>
      <c r="C379" s="773" t="s">
        <v>3411</v>
      </c>
      <c r="D379" s="1009"/>
      <c r="E379" s="1009"/>
      <c r="F379" s="1009"/>
      <c r="G379" s="1009"/>
      <c r="H379" s="1009"/>
      <c r="I379" s="1009"/>
      <c r="J379" s="1009"/>
      <c r="K379" s="1009"/>
      <c r="L379" s="1009"/>
      <c r="M379" s="1009"/>
    </row>
    <row r="380" spans="1:13" x14ac:dyDescent="0.2">
      <c r="A380" s="693">
        <v>376</v>
      </c>
      <c r="B380" s="773" t="str">
        <f t="shared" si="6"/>
        <v>Further columns are relevant for PFC emissions or emission sources (measurement-based approaches), but not for source streams. For source streams they are therefore greyed out.</v>
      </c>
      <c r="C380" s="773" t="s">
        <v>3412</v>
      </c>
      <c r="D380" s="1009"/>
      <c r="E380" s="1009"/>
      <c r="F380" s="1009"/>
      <c r="G380" s="1009"/>
      <c r="H380" s="1009"/>
      <c r="I380" s="1009"/>
      <c r="J380" s="1009"/>
      <c r="K380" s="1009"/>
      <c r="L380" s="1009"/>
      <c r="M380" s="1009"/>
    </row>
    <row r="381" spans="1:13" x14ac:dyDescent="0.2">
      <c r="A381" s="693">
        <v>377</v>
      </c>
      <c r="B381" s="773" t="str">
        <f t="shared" si="6"/>
        <v>Energy and emissions</v>
      </c>
      <c r="C381" s="773" t="s">
        <v>3413</v>
      </c>
      <c r="D381" s="1009"/>
      <c r="E381" s="1009"/>
      <c r="F381" s="1009"/>
      <c r="G381" s="1009"/>
      <c r="H381" s="1009"/>
      <c r="I381" s="1009"/>
      <c r="J381" s="1009"/>
      <c r="K381" s="1009"/>
      <c r="L381" s="1009"/>
      <c r="M381" s="1009"/>
    </row>
    <row r="382" spans="1:13" x14ac:dyDescent="0.2">
      <c r="A382" s="693">
        <v>378</v>
      </c>
      <c r="B382" s="773" t="str">
        <f t="shared" si="6"/>
        <v>On the right side of each block the total energy content and GHG emissions (fossil and biogenic) are calculated automatically for each source stream.</v>
      </c>
      <c r="C382" s="773" t="s">
        <v>3414</v>
      </c>
      <c r="D382" s="1009"/>
      <c r="E382" s="1009"/>
      <c r="F382" s="1009"/>
      <c r="G382" s="1009"/>
      <c r="H382" s="1009"/>
      <c r="I382" s="1009"/>
      <c r="J382" s="1009"/>
      <c r="K382" s="1009"/>
      <c r="L382" s="1009"/>
      <c r="M382" s="1009"/>
    </row>
    <row r="383" spans="1:13" x14ac:dyDescent="0.2">
      <c r="A383" s="693">
        <v>379</v>
      </c>
      <c r="B383" s="777" t="str">
        <f t="shared" si="6"/>
        <v>PFC emissions</v>
      </c>
      <c r="C383" s="777" t="s">
        <v>3415</v>
      </c>
      <c r="D383" s="1014"/>
      <c r="E383" s="1014"/>
      <c r="F383" s="1014"/>
      <c r="G383" s="1014"/>
      <c r="H383" s="1014"/>
      <c r="I383" s="1014"/>
      <c r="J383" s="1014"/>
      <c r="K383" s="1014"/>
      <c r="L383" s="1014"/>
      <c r="M383" s="1014"/>
    </row>
    <row r="384" spans="1:13" x14ac:dyDescent="0.2">
      <c r="A384" s="693">
        <v>380</v>
      </c>
      <c r="B384" s="773" t="str">
        <f t="shared" si="6"/>
        <v>Please select from the drop-down list the monitoring method applied: "slope" (Method A) or "overvoltage" (Method B).</v>
      </c>
      <c r="C384" s="773" t="s">
        <v>3416</v>
      </c>
      <c r="D384" s="1009"/>
      <c r="E384" s="1009"/>
      <c r="F384" s="1009"/>
      <c r="G384" s="1009"/>
      <c r="H384" s="1009"/>
      <c r="I384" s="1009"/>
      <c r="J384" s="1009"/>
      <c r="K384" s="1009"/>
      <c r="L384" s="1009"/>
      <c r="M384" s="1009"/>
    </row>
    <row r="385" spans="1:13" x14ac:dyDescent="0.2">
      <c r="A385" s="693">
        <v>381</v>
      </c>
      <c r="B385" s="773" t="str">
        <f t="shared" si="6"/>
        <v>Please provide here the type of anode such as Centre Worked Pre-Bake (CWPB), Vertical Stud Søderberg (VSS), etc.</v>
      </c>
      <c r="C385" s="773" t="s">
        <v>3417</v>
      </c>
      <c r="D385" s="1009"/>
      <c r="E385" s="1009"/>
      <c r="F385" s="1009"/>
      <c r="G385" s="1009"/>
      <c r="H385" s="1009"/>
      <c r="I385" s="1009"/>
      <c r="J385" s="1009"/>
      <c r="K385" s="1009"/>
      <c r="L385" s="1009"/>
      <c r="M385" s="1009"/>
    </row>
    <row r="386" spans="1:13" x14ac:dyDescent="0.2">
      <c r="A386" s="693">
        <v>382</v>
      </c>
      <c r="B386" s="773" t="str">
        <f t="shared" si="6"/>
        <v>Activity data = annual production of primary Aluminium</v>
      </c>
      <c r="C386" s="773" t="s">
        <v>3418</v>
      </c>
      <c r="D386" s="1009"/>
      <c r="E386" s="1009"/>
      <c r="F386" s="1009"/>
      <c r="G386" s="1009"/>
      <c r="H386" s="1009"/>
      <c r="I386" s="1009"/>
      <c r="J386" s="1009"/>
      <c r="K386" s="1009"/>
      <c r="L386" s="1009"/>
      <c r="M386" s="1009"/>
    </row>
    <row r="387" spans="1:13" x14ac:dyDescent="0.2">
      <c r="A387" s="693">
        <v>383</v>
      </c>
      <c r="B387" s="773" t="str">
        <f t="shared" si="6"/>
        <v>Method A: The frequency of anode effects (number of anode effects/cell-day)</v>
      </c>
      <c r="C387" s="773" t="s">
        <v>3419</v>
      </c>
      <c r="D387" s="1009"/>
      <c r="E387" s="1009"/>
      <c r="F387" s="1009"/>
      <c r="G387" s="1009"/>
      <c r="H387" s="1009"/>
      <c r="I387" s="1009"/>
      <c r="J387" s="1009"/>
      <c r="K387" s="1009"/>
      <c r="L387" s="1009"/>
      <c r="M387" s="1009"/>
    </row>
    <row r="388" spans="1:13" x14ac:dyDescent="0.2">
      <c r="A388" s="693">
        <v>384</v>
      </c>
      <c r="B388" s="773" t="str">
        <f t="shared" si="6"/>
        <v>Method A: The average duration of anode effects (anode effect minutes/occurrence)</v>
      </c>
      <c r="C388" s="773" t="s">
        <v>3420</v>
      </c>
      <c r="D388" s="1009"/>
      <c r="E388" s="1009"/>
      <c r="F388" s="1009"/>
      <c r="G388" s="1009"/>
      <c r="H388" s="1009"/>
      <c r="I388" s="1009"/>
      <c r="J388" s="1009"/>
      <c r="K388" s="1009"/>
      <c r="L388" s="1009"/>
      <c r="M388" s="1009"/>
    </row>
    <row r="389" spans="1:13" x14ac:dyDescent="0.2">
      <c r="A389" s="693">
        <v>385</v>
      </c>
      <c r="B389" s="773" t="str">
        <f t="shared" si="6"/>
        <v>Method A: The slope emission factor</v>
      </c>
      <c r="C389" s="773" t="s">
        <v>3421</v>
      </c>
      <c r="D389" s="1009"/>
      <c r="E389" s="1009"/>
      <c r="F389" s="1009"/>
      <c r="G389" s="1009"/>
      <c r="H389" s="1009"/>
      <c r="I389" s="1009"/>
      <c r="J389" s="1009"/>
      <c r="K389" s="1009"/>
      <c r="L389" s="1009"/>
      <c r="M389" s="1009"/>
    </row>
    <row r="390" spans="1:13" x14ac:dyDescent="0.2">
      <c r="A390" s="693">
        <v>386</v>
      </c>
      <c r="B390" s="773" t="str">
        <f t="shared" si="6"/>
        <v>Method B: The anode effect overvoltage per cell</v>
      </c>
      <c r="C390" s="773" t="s">
        <v>3422</v>
      </c>
      <c r="D390" s="1009"/>
      <c r="E390" s="1009"/>
      <c r="F390" s="1009"/>
      <c r="G390" s="1009"/>
      <c r="H390" s="1009"/>
      <c r="I390" s="1009"/>
      <c r="J390" s="1009"/>
      <c r="K390" s="1009"/>
      <c r="L390" s="1009"/>
      <c r="M390" s="1009"/>
    </row>
    <row r="391" spans="1:13" x14ac:dyDescent="0.2">
      <c r="A391" s="693">
        <v>387</v>
      </c>
      <c r="B391" s="773" t="str">
        <f t="shared" si="6"/>
        <v>Method B: The average current efficiency</v>
      </c>
      <c r="C391" s="773" t="s">
        <v>3423</v>
      </c>
      <c r="D391" s="1009"/>
      <c r="E391" s="1009"/>
      <c r="F391" s="1009"/>
      <c r="G391" s="1009"/>
      <c r="H391" s="1009"/>
      <c r="I391" s="1009"/>
      <c r="J391" s="1009"/>
      <c r="K391" s="1009"/>
      <c r="L391" s="1009"/>
      <c r="M391" s="1009"/>
    </row>
    <row r="392" spans="1:13" x14ac:dyDescent="0.2">
      <c r="A392" s="693">
        <v>388</v>
      </c>
      <c r="B392" s="773" t="str">
        <f t="shared" si="6"/>
        <v>Method B: The overvoltage coefficient (‘emission factor’)</v>
      </c>
      <c r="C392" s="773" t="s">
        <v>3424</v>
      </c>
      <c r="D392" s="1009"/>
      <c r="E392" s="1009"/>
      <c r="F392" s="1009"/>
      <c r="G392" s="1009"/>
      <c r="H392" s="1009"/>
      <c r="I392" s="1009"/>
      <c r="J392" s="1009"/>
      <c r="K392" s="1009"/>
      <c r="L392" s="1009"/>
      <c r="M392" s="1009"/>
    </row>
    <row r="393" spans="1:13" x14ac:dyDescent="0.2">
      <c r="A393" s="693">
        <v>389</v>
      </c>
      <c r="B393" s="773" t="str">
        <f t="shared" si="6"/>
        <v>The weight fraction of C2F6</v>
      </c>
      <c r="C393" s="773" t="s">
        <v>3425</v>
      </c>
      <c r="D393" s="1009"/>
      <c r="E393" s="1009"/>
      <c r="F393" s="1009"/>
      <c r="G393" s="1009"/>
      <c r="H393" s="1009"/>
      <c r="I393" s="1009"/>
      <c r="J393" s="1009"/>
      <c r="K393" s="1009"/>
      <c r="L393" s="1009"/>
      <c r="M393" s="1009"/>
    </row>
    <row r="394" spans="1:13" x14ac:dyDescent="0.2">
      <c r="A394" s="693">
        <v>390</v>
      </c>
      <c r="B394" s="773" t="str">
        <f t="shared" si="6"/>
        <v>GWP (CF4)</v>
      </c>
      <c r="C394" s="773" t="s">
        <v>3426</v>
      </c>
      <c r="D394" s="1009"/>
      <c r="E394" s="1009"/>
      <c r="F394" s="1009"/>
      <c r="G394" s="1009"/>
      <c r="H394" s="1009"/>
      <c r="I394" s="1009"/>
      <c r="J394" s="1009"/>
      <c r="K394" s="1009"/>
      <c r="L394" s="1009"/>
      <c r="M394" s="1009"/>
    </row>
    <row r="395" spans="1:13" x14ac:dyDescent="0.2">
      <c r="A395" s="693">
        <v>391</v>
      </c>
      <c r="B395" s="773" t="str">
        <f t="shared" ref="B395:B458" si="7">IFERROR(INDEX(C395:M395,$A$4-2),$C395)</f>
        <v>The global warming potential of CF4</v>
      </c>
      <c r="C395" s="773" t="s">
        <v>3427</v>
      </c>
      <c r="D395" s="1009"/>
      <c r="E395" s="1009"/>
      <c r="F395" s="1009"/>
      <c r="G395" s="1009"/>
      <c r="H395" s="1009"/>
      <c r="I395" s="1009"/>
      <c r="J395" s="1009"/>
      <c r="K395" s="1009"/>
      <c r="L395" s="1009"/>
      <c r="M395" s="1009"/>
    </row>
    <row r="396" spans="1:13" x14ac:dyDescent="0.2">
      <c r="A396" s="693">
        <v>392</v>
      </c>
      <c r="B396" s="773" t="str">
        <f t="shared" si="7"/>
        <v>GWP (C2F6)</v>
      </c>
      <c r="C396" s="773" t="s">
        <v>3428</v>
      </c>
      <c r="D396" s="1009"/>
      <c r="E396" s="1009"/>
      <c r="F396" s="1009"/>
      <c r="G396" s="1009"/>
      <c r="H396" s="1009"/>
      <c r="I396" s="1009"/>
      <c r="J396" s="1009"/>
      <c r="K396" s="1009"/>
      <c r="L396" s="1009"/>
      <c r="M396" s="1009"/>
    </row>
    <row r="397" spans="1:13" x14ac:dyDescent="0.2">
      <c r="A397" s="693">
        <v>393</v>
      </c>
      <c r="B397" s="773" t="str">
        <f t="shared" si="7"/>
        <v>The global warming potential of C2F6</v>
      </c>
      <c r="C397" s="773" t="s">
        <v>3429</v>
      </c>
      <c r="D397" s="1009"/>
      <c r="E397" s="1009"/>
      <c r="F397" s="1009"/>
      <c r="G397" s="1009"/>
      <c r="H397" s="1009"/>
      <c r="I397" s="1009"/>
      <c r="J397" s="1009"/>
      <c r="K397" s="1009"/>
      <c r="L397" s="1009"/>
      <c r="M397" s="1009"/>
    </row>
    <row r="398" spans="1:13" x14ac:dyDescent="0.2">
      <c r="A398" s="693">
        <v>394</v>
      </c>
      <c r="B398" s="773" t="str">
        <f t="shared" si="7"/>
        <v>Collection efficiency</v>
      </c>
      <c r="C398" s="773" t="s">
        <v>3430</v>
      </c>
      <c r="D398" s="1009"/>
      <c r="E398" s="1009"/>
      <c r="F398" s="1009"/>
      <c r="G398" s="1009"/>
      <c r="H398" s="1009"/>
      <c r="I398" s="1009"/>
      <c r="J398" s="1009"/>
      <c r="K398" s="1009"/>
      <c r="L398" s="1009"/>
      <c r="M398" s="1009"/>
    </row>
    <row r="399" spans="1:13" x14ac:dyDescent="0.2">
      <c r="A399" s="693">
        <v>395</v>
      </c>
      <c r="B399" s="773" t="str">
        <f t="shared" si="7"/>
        <v>Efficiency of the collection of the fugitive PFC emissions</v>
      </c>
      <c r="C399" s="773" t="s">
        <v>3431</v>
      </c>
      <c r="D399" s="1009"/>
      <c r="E399" s="1009"/>
      <c r="F399" s="1009"/>
      <c r="G399" s="1009"/>
      <c r="H399" s="1009"/>
      <c r="I399" s="1009"/>
      <c r="J399" s="1009"/>
      <c r="K399" s="1009"/>
      <c r="L399" s="1009"/>
      <c r="M399" s="1009"/>
    </row>
    <row r="400" spans="1:13" x14ac:dyDescent="0.2">
      <c r="A400" s="693">
        <v>396</v>
      </c>
      <c r="B400" s="777" t="str">
        <f t="shared" si="7"/>
        <v>Emission sources | Measurement-based approaches (continuous emission monitoring)</v>
      </c>
      <c r="C400" s="777" t="s">
        <v>3432</v>
      </c>
      <c r="D400" s="1014"/>
      <c r="E400" s="1014"/>
      <c r="F400" s="1014"/>
      <c r="G400" s="1014"/>
      <c r="H400" s="1014"/>
      <c r="I400" s="1014"/>
      <c r="J400" s="1014"/>
      <c r="K400" s="1014"/>
      <c r="L400" s="1014"/>
      <c r="M400" s="1014"/>
    </row>
    <row r="401" spans="1:13" x14ac:dyDescent="0.2">
      <c r="A401" s="693">
        <v>397</v>
      </c>
      <c r="B401" s="773" t="str">
        <f t="shared" si="7"/>
        <v>Please enter here a name for the emission source or the point of emission, e.g. Stack xyz.</v>
      </c>
      <c r="C401" s="773" t="s">
        <v>3433</v>
      </c>
      <c r="D401" s="1009"/>
      <c r="E401" s="1009"/>
      <c r="F401" s="1009"/>
      <c r="G401" s="1009"/>
      <c r="H401" s="1009"/>
      <c r="I401" s="1009"/>
      <c r="J401" s="1009"/>
      <c r="K401" s="1009"/>
      <c r="L401" s="1009"/>
      <c r="M401" s="1009"/>
    </row>
    <row r="402" spans="1:13" x14ac:dyDescent="0.2">
      <c r="A402" s="693">
        <v>398</v>
      </c>
      <c r="B402" s="773" t="str">
        <f t="shared" si="7"/>
        <v>Please provide here the type of greenhouse gas (GHG) measured in the flue gas: CO2 or N2O.</v>
      </c>
      <c r="C402" s="773" t="s">
        <v>3434</v>
      </c>
      <c r="D402" s="1009"/>
      <c r="E402" s="1009"/>
      <c r="F402" s="1009"/>
      <c r="G402" s="1009"/>
      <c r="H402" s="1009"/>
      <c r="I402" s="1009"/>
      <c r="J402" s="1009"/>
      <c r="K402" s="1009"/>
      <c r="L402" s="1009"/>
      <c r="M402" s="1009"/>
    </row>
    <row r="403" spans="1:13" x14ac:dyDescent="0.2">
      <c r="A403" s="693">
        <v>399</v>
      </c>
      <c r="B403" s="773" t="str">
        <f t="shared" si="7"/>
        <v xml:space="preserve">hourly average GHG conc. </v>
      </c>
      <c r="C403" s="773" t="s">
        <v>3435</v>
      </c>
      <c r="D403" s="1009"/>
      <c r="E403" s="1009"/>
      <c r="F403" s="1009"/>
      <c r="G403" s="1009"/>
      <c r="H403" s="1009"/>
      <c r="I403" s="1009"/>
      <c r="J403" s="1009"/>
      <c r="K403" s="1009"/>
      <c r="L403" s="1009"/>
      <c r="M403" s="1009"/>
    </row>
    <row r="404" spans="1:13" x14ac:dyDescent="0.2">
      <c r="A404" s="693">
        <v>400</v>
      </c>
      <c r="B404" s="773" t="str">
        <f t="shared" si="7"/>
        <v>The weighted average hourly concentration of the GHG measured (g per Nm³)</v>
      </c>
      <c r="C404" s="773" t="s">
        <v>3436</v>
      </c>
      <c r="D404" s="1009"/>
      <c r="E404" s="1009"/>
      <c r="F404" s="1009"/>
      <c r="G404" s="1009"/>
      <c r="H404" s="1009"/>
      <c r="I404" s="1009"/>
      <c r="J404" s="1009"/>
      <c r="K404" s="1009"/>
      <c r="L404" s="1009"/>
      <c r="M404" s="1009"/>
    </row>
    <row r="405" spans="1:13" x14ac:dyDescent="0.2">
      <c r="A405" s="693">
        <v>401</v>
      </c>
      <c r="B405" s="773" t="str">
        <f t="shared" si="7"/>
        <v>Hours operating</v>
      </c>
      <c r="C405" s="773" t="s">
        <v>3437</v>
      </c>
      <c r="D405" s="1009"/>
      <c r="E405" s="1009"/>
      <c r="F405" s="1009"/>
      <c r="G405" s="1009"/>
      <c r="H405" s="1009"/>
      <c r="I405" s="1009"/>
      <c r="J405" s="1009"/>
      <c r="K405" s="1009"/>
      <c r="L405" s="1009"/>
      <c r="M405" s="1009"/>
    </row>
    <row r="406" spans="1:13" x14ac:dyDescent="0.2">
      <c r="A406" s="693">
        <v>402</v>
      </c>
      <c r="B406" s="773" t="str">
        <f t="shared" si="7"/>
        <v>The total hours of operation of the production process</v>
      </c>
      <c r="C406" s="773" t="s">
        <v>3438</v>
      </c>
      <c r="D406" s="1009"/>
      <c r="E406" s="1009"/>
      <c r="F406" s="1009"/>
      <c r="G406" s="1009"/>
      <c r="H406" s="1009"/>
      <c r="I406" s="1009"/>
      <c r="J406" s="1009"/>
      <c r="K406" s="1009"/>
      <c r="L406" s="1009"/>
      <c r="M406" s="1009"/>
    </row>
    <row r="407" spans="1:13" x14ac:dyDescent="0.2">
      <c r="A407" s="693">
        <v>403</v>
      </c>
      <c r="B407" s="773" t="str">
        <f t="shared" si="7"/>
        <v>Flue gas</v>
      </c>
      <c r="C407" s="773" t="s">
        <v>3439</v>
      </c>
      <c r="D407" s="1009"/>
      <c r="E407" s="1009"/>
      <c r="F407" s="1009"/>
      <c r="G407" s="1009"/>
      <c r="H407" s="1009"/>
      <c r="I407" s="1009"/>
      <c r="J407" s="1009"/>
      <c r="K407" s="1009"/>
      <c r="L407" s="1009"/>
      <c r="M407" s="1009"/>
    </row>
    <row r="408" spans="1:13" x14ac:dyDescent="0.2">
      <c r="A408" s="693">
        <v>404</v>
      </c>
      <c r="B408" s="773" t="str">
        <f t="shared" si="7"/>
        <v>The total volume of the flue gas</v>
      </c>
      <c r="C408" s="773" t="s">
        <v>3440</v>
      </c>
      <c r="D408" s="1009"/>
      <c r="E408" s="1009"/>
      <c r="F408" s="1009"/>
      <c r="G408" s="1009"/>
      <c r="H408" s="1009"/>
      <c r="I408" s="1009"/>
      <c r="J408" s="1009"/>
      <c r="K408" s="1009"/>
      <c r="L408" s="1009"/>
      <c r="M408" s="1009"/>
    </row>
    <row r="409" spans="1:13" x14ac:dyDescent="0.2">
      <c r="A409" s="693">
        <v>405</v>
      </c>
      <c r="B409" s="774" t="str">
        <f t="shared" si="7"/>
        <v>Energy content</v>
      </c>
      <c r="C409" s="774" t="s">
        <v>3441</v>
      </c>
      <c r="D409" s="1010"/>
      <c r="E409" s="1010"/>
      <c r="F409" s="1010"/>
      <c r="G409" s="1010"/>
      <c r="H409" s="1010"/>
      <c r="I409" s="1010"/>
      <c r="J409" s="1010"/>
      <c r="K409" s="1010"/>
      <c r="L409" s="1010"/>
      <c r="M409" s="1010"/>
    </row>
    <row r="410" spans="1:13" x14ac:dyDescent="0.2">
      <c r="A410" s="693">
        <v>406</v>
      </c>
      <c r="B410" s="774" t="str">
        <f t="shared" si="7"/>
        <v>The energy content of the fuels or materials entering the production process</v>
      </c>
      <c r="C410" s="774" t="s">
        <v>3442</v>
      </c>
      <c r="D410" s="1010"/>
      <c r="E410" s="1010"/>
      <c r="F410" s="1010"/>
      <c r="G410" s="1010"/>
      <c r="H410" s="1010"/>
      <c r="I410" s="1010"/>
      <c r="J410" s="1010"/>
      <c r="K410" s="1010"/>
      <c r="L410" s="1010"/>
      <c r="M410" s="1010"/>
    </row>
    <row r="411" spans="1:13" ht="15.75" x14ac:dyDescent="0.2">
      <c r="A411" s="693">
        <v>407</v>
      </c>
      <c r="B411" s="315" t="str">
        <f t="shared" si="7"/>
        <v>Attribution of emissions to production processes</v>
      </c>
      <c r="C411" s="315" t="s">
        <v>3443</v>
      </c>
      <c r="D411" s="939"/>
      <c r="E411" s="939"/>
      <c r="F411" s="939"/>
      <c r="G411" s="939"/>
      <c r="H411" s="939"/>
      <c r="I411" s="939"/>
      <c r="J411" s="939"/>
      <c r="K411" s="939"/>
      <c r="L411" s="939"/>
      <c r="M411" s="939"/>
    </row>
    <row r="412" spans="1:13" x14ac:dyDescent="0.2">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3444</v>
      </c>
      <c r="D412" s="1013"/>
      <c r="E412" s="1013"/>
      <c r="F412" s="1013"/>
      <c r="G412" s="1013"/>
      <c r="H412" s="1013"/>
      <c r="I412" s="1013"/>
      <c r="J412" s="1013"/>
      <c r="K412" s="1013"/>
      <c r="L412" s="1013"/>
      <c r="M412" s="1013"/>
    </row>
    <row r="413" spans="1:13" x14ac:dyDescent="0.2">
      <c r="A413" s="693">
        <v>409</v>
      </c>
      <c r="B413" s="767" t="str">
        <f t="shared" si="7"/>
        <v>Entries in sheet "E_PurchPrec" require similar entries. Further guidance is provided there.</v>
      </c>
      <c r="C413" s="767" t="s">
        <v>3445</v>
      </c>
      <c r="D413" s="999"/>
      <c r="E413" s="999"/>
      <c r="F413" s="999"/>
      <c r="G413" s="999"/>
      <c r="H413" s="999"/>
      <c r="I413" s="999"/>
      <c r="J413" s="999"/>
      <c r="K413" s="999"/>
      <c r="L413" s="999"/>
      <c r="M413" s="999"/>
    </row>
    <row r="414" spans="1:13" ht="12.75" x14ac:dyDescent="0.2">
      <c r="A414" s="693">
        <v>410</v>
      </c>
      <c r="B414" s="742" t="str">
        <f t="shared" si="7"/>
        <v>a)</v>
      </c>
      <c r="C414" s="742" t="s">
        <v>3446</v>
      </c>
      <c r="D414" s="1015"/>
      <c r="E414" s="1015"/>
      <c r="F414" s="1015"/>
      <c r="G414" s="1015"/>
      <c r="H414" s="1015"/>
      <c r="I414" s="1015"/>
      <c r="J414" s="1015"/>
      <c r="K414" s="1015"/>
      <c r="L414" s="1015"/>
      <c r="M414" s="1015"/>
    </row>
    <row r="415" spans="1:13" x14ac:dyDescent="0.2">
      <c r="A415" s="693">
        <v>411</v>
      </c>
      <c r="B415" s="778" t="str">
        <f t="shared" si="7"/>
        <v>Total production</v>
      </c>
      <c r="C415" s="778" t="s">
        <v>3447</v>
      </c>
      <c r="D415" s="1016"/>
      <c r="E415" s="1016"/>
      <c r="F415" s="1016"/>
      <c r="G415" s="1016"/>
      <c r="H415" s="1016"/>
      <c r="I415" s="1016"/>
      <c r="J415" s="1016"/>
      <c r="K415" s="1016"/>
      <c r="L415" s="1016"/>
      <c r="M415" s="1016"/>
    </row>
    <row r="416" spans="1:13" x14ac:dyDescent="0.2">
      <c r="A416" s="693">
        <v>412</v>
      </c>
      <c r="B416" s="779" t="str">
        <f t="shared" si="7"/>
        <v>SEE Denominator</v>
      </c>
      <c r="C416" s="779" t="s">
        <v>3448</v>
      </c>
      <c r="D416" s="1017"/>
      <c r="E416" s="1017"/>
      <c r="F416" s="1017"/>
      <c r="G416" s="1017"/>
      <c r="H416" s="1017"/>
      <c r="I416" s="1017"/>
      <c r="J416" s="1017"/>
      <c r="K416" s="1017"/>
      <c r="L416" s="1017"/>
      <c r="M416" s="1017"/>
    </row>
    <row r="417" spans="1:13" x14ac:dyDescent="0.2">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3449</v>
      </c>
      <c r="D417" s="1008"/>
      <c r="E417" s="1008"/>
      <c r="F417" s="1008"/>
      <c r="G417" s="1008"/>
      <c r="H417" s="1008"/>
      <c r="I417" s="1008"/>
      <c r="J417" s="1008"/>
      <c r="K417" s="1008"/>
      <c r="L417" s="1008"/>
      <c r="M417" s="1008"/>
    </row>
    <row r="418" spans="1:13" ht="12.75" x14ac:dyDescent="0.2">
      <c r="A418" s="693">
        <v>414</v>
      </c>
      <c r="B418" s="742" t="str">
        <f t="shared" si="7"/>
        <v>b)</v>
      </c>
      <c r="C418" s="742" t="s">
        <v>3450</v>
      </c>
      <c r="D418" s="1015"/>
      <c r="E418" s="1015"/>
      <c r="F418" s="1015"/>
      <c r="G418" s="1015"/>
      <c r="H418" s="1015"/>
      <c r="I418" s="1015"/>
      <c r="J418" s="1015"/>
      <c r="K418" s="1015"/>
      <c r="L418" s="1015"/>
      <c r="M418" s="1015"/>
    </row>
    <row r="419" spans="1:13" x14ac:dyDescent="0.2">
      <c r="A419" s="693">
        <v>415</v>
      </c>
      <c r="B419" s="780" t="str">
        <f t="shared" si="7"/>
        <v>Production for the market</v>
      </c>
      <c r="C419" s="780" t="s">
        <v>3451</v>
      </c>
      <c r="D419" s="1018"/>
      <c r="E419" s="1018"/>
      <c r="F419" s="1018"/>
      <c r="G419" s="1018"/>
      <c r="H419" s="1018"/>
      <c r="I419" s="1018"/>
      <c r="J419" s="1018"/>
      <c r="K419" s="1018"/>
      <c r="L419" s="1018"/>
      <c r="M419" s="1018"/>
    </row>
    <row r="420" spans="1:13" x14ac:dyDescent="0.2">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3452</v>
      </c>
      <c r="D420" s="1009"/>
      <c r="E420" s="1009"/>
      <c r="F420" s="1009"/>
      <c r="G420" s="1009"/>
      <c r="H420" s="1009"/>
      <c r="I420" s="1009"/>
      <c r="J420" s="1009"/>
      <c r="K420" s="1009"/>
      <c r="L420" s="1009"/>
      <c r="M420" s="1009"/>
    </row>
    <row r="421" spans="1:13" ht="12.75" x14ac:dyDescent="0.2">
      <c r="A421" s="693">
        <v>417</v>
      </c>
      <c r="B421" s="742" t="str">
        <f t="shared" si="7"/>
        <v>c)</v>
      </c>
      <c r="C421" s="742" t="s">
        <v>3453</v>
      </c>
      <c r="D421" s="1015"/>
      <c r="E421" s="1015"/>
      <c r="F421" s="1015"/>
      <c r="G421" s="1015"/>
      <c r="H421" s="1015"/>
      <c r="I421" s="1015"/>
      <c r="J421" s="1015"/>
      <c r="K421" s="1015"/>
      <c r="L421" s="1015"/>
      <c r="M421" s="1015"/>
    </row>
    <row r="422" spans="1:13" x14ac:dyDescent="0.2">
      <c r="A422" s="693">
        <v>418</v>
      </c>
      <c r="B422" s="780" t="str">
        <f t="shared" si="7"/>
        <v>Consumed in other 'production processes'</v>
      </c>
      <c r="C422" s="780" t="s">
        <v>3454</v>
      </c>
      <c r="D422" s="1018"/>
      <c r="E422" s="1018"/>
      <c r="F422" s="1018"/>
      <c r="G422" s="1018"/>
      <c r="H422" s="1018"/>
      <c r="I422" s="1018"/>
      <c r="J422" s="1018"/>
      <c r="K422" s="1018"/>
      <c r="L422" s="1018"/>
      <c r="M422" s="1018"/>
    </row>
    <row r="423" spans="1:13" x14ac:dyDescent="0.2">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3455</v>
      </c>
      <c r="D423" s="1009"/>
      <c r="E423" s="1009"/>
      <c r="F423" s="1009"/>
      <c r="G423" s="1009"/>
      <c r="H423" s="1009"/>
      <c r="I423" s="1009"/>
      <c r="J423" s="1009"/>
      <c r="K423" s="1009"/>
      <c r="L423" s="1009"/>
      <c r="M423" s="1009"/>
    </row>
    <row r="424" spans="1:13" ht="12.75" x14ac:dyDescent="0.2">
      <c r="A424" s="693">
        <v>420</v>
      </c>
      <c r="B424" s="742" t="str">
        <f t="shared" si="7"/>
        <v>d)</v>
      </c>
      <c r="C424" s="742" t="s">
        <v>3456</v>
      </c>
      <c r="D424" s="1015"/>
      <c r="E424" s="1015"/>
      <c r="F424" s="1015"/>
      <c r="G424" s="1015"/>
      <c r="H424" s="1015"/>
      <c r="I424" s="1015"/>
      <c r="J424" s="1015"/>
      <c r="K424" s="1015"/>
      <c r="L424" s="1015"/>
      <c r="M424" s="1015"/>
    </row>
    <row r="425" spans="1:13" x14ac:dyDescent="0.2">
      <c r="A425" s="693">
        <v>421</v>
      </c>
      <c r="B425" s="780" t="str">
        <f t="shared" si="7"/>
        <v>Consumed for non-CBAM goods</v>
      </c>
      <c r="C425" s="780" t="s">
        <v>3457</v>
      </c>
      <c r="D425" s="1018"/>
      <c r="E425" s="1018"/>
      <c r="F425" s="1018"/>
      <c r="G425" s="1018"/>
      <c r="H425" s="1018"/>
      <c r="I425" s="1018"/>
      <c r="J425" s="1018"/>
      <c r="K425" s="1018"/>
      <c r="L425" s="1018"/>
      <c r="M425" s="1018"/>
    </row>
    <row r="426" spans="1:13" x14ac:dyDescent="0.2">
      <c r="A426" s="693">
        <v>422</v>
      </c>
      <c r="B426" s="773" t="str">
        <f t="shared" si="7"/>
        <v>Please provide here the total amount of goods that are consumed in production processes within the installation which produce goods that are not covered by the scope of the CBAM.</v>
      </c>
      <c r="C426" s="773" t="s">
        <v>3458</v>
      </c>
      <c r="D426" s="1009"/>
      <c r="E426" s="1009"/>
      <c r="F426" s="1009"/>
      <c r="G426" s="1009"/>
      <c r="H426" s="1009"/>
      <c r="I426" s="1009"/>
      <c r="J426" s="1009"/>
      <c r="K426" s="1009"/>
      <c r="L426" s="1009"/>
      <c r="M426" s="1009"/>
    </row>
    <row r="427" spans="1:13" ht="12.75" x14ac:dyDescent="0.2">
      <c r="A427" s="693">
        <v>423</v>
      </c>
      <c r="B427" s="742" t="str">
        <f t="shared" si="7"/>
        <v>e)</v>
      </c>
      <c r="C427" s="742" t="s">
        <v>3459</v>
      </c>
      <c r="D427" s="1015"/>
      <c r="E427" s="1015"/>
      <c r="F427" s="1015"/>
      <c r="G427" s="1015"/>
      <c r="H427" s="1015"/>
      <c r="I427" s="1015"/>
      <c r="J427" s="1015"/>
      <c r="K427" s="1015"/>
      <c r="L427" s="1015"/>
      <c r="M427" s="1015"/>
    </row>
    <row r="428" spans="1:13" x14ac:dyDescent="0.2">
      <c r="A428" s="693">
        <v>424</v>
      </c>
      <c r="B428" s="780" t="str">
        <f t="shared" si="7"/>
        <v>Control</v>
      </c>
      <c r="C428" s="780" t="s">
        <v>3460</v>
      </c>
      <c r="D428" s="1018"/>
      <c r="E428" s="1018"/>
      <c r="F428" s="1018"/>
      <c r="G428" s="1018"/>
      <c r="H428" s="1018"/>
      <c r="I428" s="1018"/>
      <c r="J428" s="1018"/>
      <c r="K428" s="1018"/>
      <c r="L428" s="1018"/>
      <c r="M428" s="1018"/>
    </row>
    <row r="429" spans="1:13" x14ac:dyDescent="0.2">
      <c r="A429" s="693">
        <v>425</v>
      </c>
      <c r="B429" s="773" t="str">
        <f t="shared" si="7"/>
        <v>This is an automatic calculation "a-(b+c+d)". Please ensure that this value is zero.</v>
      </c>
      <c r="C429" s="773" t="s">
        <v>3461</v>
      </c>
      <c r="D429" s="1009"/>
      <c r="E429" s="1009"/>
      <c r="F429" s="1009"/>
      <c r="G429" s="1009"/>
      <c r="H429" s="1009"/>
      <c r="I429" s="1009"/>
      <c r="J429" s="1009"/>
      <c r="K429" s="1009"/>
      <c r="L429" s="1009"/>
      <c r="M429" s="1009"/>
    </row>
    <row r="430" spans="1:13" ht="12.75" x14ac:dyDescent="0.2">
      <c r="A430" s="693">
        <v>426</v>
      </c>
      <c r="B430" s="742" t="str">
        <f t="shared" si="7"/>
        <v>f)</v>
      </c>
      <c r="C430" s="742" t="s">
        <v>3462</v>
      </c>
      <c r="D430" s="1015"/>
      <c r="E430" s="1015"/>
      <c r="F430" s="1015"/>
      <c r="G430" s="1015"/>
      <c r="H430" s="1015"/>
      <c r="I430" s="1015"/>
      <c r="J430" s="1015"/>
      <c r="K430" s="1015"/>
      <c r="L430" s="1015"/>
      <c r="M430" s="1015"/>
    </row>
    <row r="431" spans="1:13" x14ac:dyDescent="0.2">
      <c r="A431" s="693">
        <v>427</v>
      </c>
      <c r="B431" s="780" t="str">
        <f t="shared" si="7"/>
        <v>Applicable elements</v>
      </c>
      <c r="C431" s="780" t="s">
        <v>3463</v>
      </c>
      <c r="D431" s="1018"/>
      <c r="E431" s="1018"/>
      <c r="F431" s="1018"/>
      <c r="G431" s="1018"/>
      <c r="H431" s="1018"/>
      <c r="I431" s="1018"/>
      <c r="J431" s="1018"/>
      <c r="K431" s="1018"/>
      <c r="L431" s="1018"/>
      <c r="M431" s="1018"/>
    </row>
    <row r="432" spans="1:13" x14ac:dyDescent="0.2">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3464</v>
      </c>
      <c r="D432" s="1009"/>
      <c r="E432" s="1009"/>
      <c r="F432" s="1009"/>
      <c r="G432" s="1009"/>
      <c r="H432" s="1009"/>
      <c r="I432" s="1009"/>
      <c r="J432" s="1009"/>
      <c r="K432" s="1009"/>
      <c r="L432" s="1009"/>
      <c r="M432" s="1009"/>
    </row>
    <row r="433" spans="1:13" x14ac:dyDescent="0.2">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3465</v>
      </c>
      <c r="D433" s="1009"/>
      <c r="E433" s="1009"/>
      <c r="F433" s="1009"/>
      <c r="G433" s="1009"/>
      <c r="H433" s="1009"/>
      <c r="I433" s="1009"/>
      <c r="J433" s="1009"/>
      <c r="K433" s="1009"/>
      <c r="L433" s="1009"/>
      <c r="M433" s="1009"/>
    </row>
    <row r="434" spans="1:13" ht="12.75" x14ac:dyDescent="0.2">
      <c r="A434" s="693">
        <v>430</v>
      </c>
      <c r="B434" s="742" t="str">
        <f t="shared" si="7"/>
        <v>g)</v>
      </c>
      <c r="C434" s="742" t="s">
        <v>3466</v>
      </c>
      <c r="D434" s="1015"/>
      <c r="E434" s="1015"/>
      <c r="F434" s="1015"/>
      <c r="G434" s="1015"/>
      <c r="H434" s="1015"/>
      <c r="I434" s="1015"/>
      <c r="J434" s="1015"/>
      <c r="K434" s="1015"/>
      <c r="L434" s="1015"/>
      <c r="M434" s="1015"/>
    </row>
    <row r="435" spans="1:13" x14ac:dyDescent="0.2">
      <c r="A435" s="693">
        <v>431</v>
      </c>
      <c r="B435" s="780" t="str">
        <f t="shared" si="7"/>
        <v>DirEm*</v>
      </c>
      <c r="C435" s="780" t="s">
        <v>3467</v>
      </c>
      <c r="D435" s="1018"/>
      <c r="E435" s="1018"/>
      <c r="F435" s="1018"/>
      <c r="G435" s="1018"/>
      <c r="H435" s="1018"/>
      <c r="I435" s="1018"/>
      <c r="J435" s="1018"/>
      <c r="K435" s="1018"/>
      <c r="L435" s="1018"/>
      <c r="M435" s="1018"/>
    </row>
    <row r="436" spans="1:13" x14ac:dyDescent="0.2">
      <c r="A436" s="693">
        <v>432</v>
      </c>
      <c r="B436" s="773" t="str">
        <f t="shared" si="7"/>
        <v>Please include here all emissions directly linked to and therefore attributable to the production process taking into consideration the further provisions below.</v>
      </c>
      <c r="C436" s="773" t="s">
        <v>3468</v>
      </c>
      <c r="D436" s="1009"/>
      <c r="E436" s="1009"/>
      <c r="F436" s="1009"/>
      <c r="G436" s="1009"/>
      <c r="H436" s="1009"/>
      <c r="I436" s="1009"/>
      <c r="J436" s="1009"/>
      <c r="K436" s="1009"/>
      <c r="L436" s="1009"/>
      <c r="M436" s="1009"/>
    </row>
    <row r="437" spans="1:13" x14ac:dyDescent="0.2">
      <c r="A437" s="693">
        <v>433</v>
      </c>
      <c r="B437" s="781" t="str">
        <f t="shared" si="7"/>
        <v>Avoidance of double counting</v>
      </c>
      <c r="C437" s="781" t="s">
        <v>3469</v>
      </c>
      <c r="D437" s="1019"/>
      <c r="E437" s="1019"/>
      <c r="F437" s="1019"/>
      <c r="G437" s="1019"/>
      <c r="H437" s="1019"/>
      <c r="I437" s="1019"/>
      <c r="J437" s="1019"/>
      <c r="K437" s="1019"/>
      <c r="L437" s="1019"/>
      <c r="M437" s="1019"/>
    </row>
    <row r="438" spans="1:13" x14ac:dyDescent="0.2">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3470</v>
      </c>
      <c r="D438" s="1009"/>
      <c r="E438" s="1009"/>
      <c r="F438" s="1009"/>
      <c r="G438" s="1009"/>
      <c r="H438" s="1009"/>
      <c r="I438" s="1009"/>
      <c r="J438" s="1009"/>
      <c r="K438" s="1009"/>
      <c r="L438" s="1009"/>
      <c r="M438" s="1009"/>
    </row>
    <row r="439" spans="1:13" x14ac:dyDescent="0.2">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3471</v>
      </c>
      <c r="D439" s="1009"/>
      <c r="E439" s="1009"/>
      <c r="F439" s="1009"/>
      <c r="G439" s="1009"/>
      <c r="H439" s="1009"/>
      <c r="I439" s="1009"/>
      <c r="J439" s="1009"/>
      <c r="K439" s="1009"/>
      <c r="L439" s="1009"/>
      <c r="M439" s="1009"/>
    </row>
    <row r="440" spans="1:13" x14ac:dyDescent="0.2">
      <c r="A440" s="693">
        <v>436</v>
      </c>
      <c r="B440" s="773" t="str">
        <f t="shared" si="7"/>
        <v>Waste gases: special rules apply here. Emissions from waste gases produced in another production process and consumed in this process should NOT be reported under DirEm*, but under 'Waste gas imported' below.</v>
      </c>
      <c r="C440" s="773" t="s">
        <v>3472</v>
      </c>
      <c r="D440" s="1009"/>
      <c r="E440" s="1009"/>
      <c r="F440" s="1009"/>
      <c r="G440" s="1009"/>
      <c r="H440" s="1009"/>
      <c r="I440" s="1009"/>
      <c r="J440" s="1009"/>
      <c r="K440" s="1009"/>
      <c r="L440" s="1009"/>
      <c r="M440" s="1009"/>
    </row>
    <row r="441" spans="1:13" x14ac:dyDescent="0.2">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3473</v>
      </c>
      <c r="D441" s="1009"/>
      <c r="E441" s="1009"/>
      <c r="F441" s="1009"/>
      <c r="G441" s="1009"/>
      <c r="H441" s="1009"/>
      <c r="I441" s="1009"/>
      <c r="J441" s="1009"/>
      <c r="K441" s="1009"/>
      <c r="L441" s="1009"/>
      <c r="M441" s="1009"/>
    </row>
    <row r="442" spans="1:13" ht="12.75" x14ac:dyDescent="0.2">
      <c r="A442" s="693">
        <v>438</v>
      </c>
      <c r="B442" s="742" t="str">
        <f t="shared" si="7"/>
        <v>h)</v>
      </c>
      <c r="C442" s="742" t="s">
        <v>3474</v>
      </c>
      <c r="D442" s="1015"/>
      <c r="E442" s="1015"/>
      <c r="F442" s="1015"/>
      <c r="G442" s="1015"/>
      <c r="H442" s="1015"/>
      <c r="I442" s="1015"/>
      <c r="J442" s="1015"/>
      <c r="K442" s="1015"/>
      <c r="L442" s="1015"/>
      <c r="M442" s="1015"/>
    </row>
    <row r="443" spans="1:13" x14ac:dyDescent="0.2">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3475</v>
      </c>
      <c r="D443" s="1009"/>
      <c r="E443" s="1009"/>
      <c r="F443" s="1009"/>
      <c r="G443" s="1009"/>
      <c r="H443" s="1009"/>
      <c r="I443" s="1009"/>
      <c r="J443" s="1009"/>
      <c r="K443" s="1009"/>
      <c r="L443" s="1009"/>
      <c r="M443" s="1009"/>
    </row>
    <row r="444" spans="1:13" x14ac:dyDescent="0.2">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3476</v>
      </c>
      <c r="D444" s="1009"/>
      <c r="E444" s="1009"/>
      <c r="F444" s="1009"/>
      <c r="G444" s="1009"/>
      <c r="H444" s="1009"/>
      <c r="I444" s="1009"/>
      <c r="J444" s="1009"/>
      <c r="K444" s="1009"/>
      <c r="L444" s="1009"/>
      <c r="M444" s="1009"/>
    </row>
    <row r="445" spans="1:13" x14ac:dyDescent="0.2">
      <c r="A445" s="693">
        <v>441</v>
      </c>
      <c r="B445" s="773" t="str">
        <f t="shared" si="7"/>
        <v>For the EF of heat produced in a CHP, please see the reference to the "CHP Tool" above.</v>
      </c>
      <c r="C445" s="773" t="s">
        <v>3477</v>
      </c>
      <c r="D445" s="1009"/>
      <c r="E445" s="1009"/>
      <c r="F445" s="1009"/>
      <c r="G445" s="1009"/>
      <c r="H445" s="1009"/>
      <c r="I445" s="1009"/>
      <c r="J445" s="1009"/>
      <c r="K445" s="1009"/>
      <c r="L445" s="1009"/>
      <c r="M445" s="1009"/>
    </row>
    <row r="446" spans="1:13" x14ac:dyDescent="0.2">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3478</v>
      </c>
      <c r="D446" s="1009"/>
      <c r="E446" s="1009"/>
      <c r="F446" s="1009"/>
      <c r="G446" s="1009"/>
      <c r="H446" s="1009"/>
      <c r="I446" s="1009"/>
      <c r="J446" s="1009"/>
      <c r="K446" s="1009"/>
      <c r="L446" s="1009"/>
      <c r="M446" s="1009"/>
    </row>
    <row r="447" spans="1:13" x14ac:dyDescent="0.2">
      <c r="A447" s="693">
        <v>443</v>
      </c>
      <c r="B447" s="773" t="str">
        <f t="shared" si="7"/>
        <v>Heat recovered and NOT exported but used within the production process shall not be reported under exported heat.</v>
      </c>
      <c r="C447" s="773" t="s">
        <v>3479</v>
      </c>
      <c r="D447" s="1009"/>
      <c r="E447" s="1009"/>
      <c r="F447" s="1009"/>
      <c r="G447" s="1009"/>
      <c r="H447" s="1009"/>
      <c r="I447" s="1009"/>
      <c r="J447" s="1009"/>
      <c r="K447" s="1009"/>
      <c r="L447" s="1009"/>
      <c r="M447" s="1009"/>
    </row>
    <row r="448" spans="1:13" ht="12.75" x14ac:dyDescent="0.2">
      <c r="A448" s="693">
        <v>444</v>
      </c>
      <c r="B448" s="742" t="str">
        <f t="shared" si="7"/>
        <v>i)</v>
      </c>
      <c r="C448" s="742" t="s">
        <v>3480</v>
      </c>
      <c r="D448" s="1015"/>
      <c r="E448" s="1015"/>
      <c r="F448" s="1015"/>
      <c r="G448" s="1015"/>
      <c r="H448" s="1015"/>
      <c r="I448" s="1015"/>
      <c r="J448" s="1015"/>
      <c r="K448" s="1015"/>
      <c r="L448" s="1015"/>
      <c r="M448" s="1015"/>
    </row>
    <row r="449" spans="1:13" x14ac:dyDescent="0.2">
      <c r="A449" s="693">
        <v>445</v>
      </c>
      <c r="B449" s="780" t="str">
        <f t="shared" si="7"/>
        <v>Import and export of waste gases</v>
      </c>
      <c r="C449" s="780" t="s">
        <v>3481</v>
      </c>
      <c r="D449" s="1018"/>
      <c r="E449" s="1018"/>
      <c r="F449" s="1018"/>
      <c r="G449" s="1018"/>
      <c r="H449" s="1018"/>
      <c r="I449" s="1018"/>
      <c r="J449" s="1018"/>
      <c r="K449" s="1018"/>
      <c r="L449" s="1018"/>
      <c r="M449" s="1018"/>
    </row>
    <row r="450" spans="1:13" x14ac:dyDescent="0.2">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3482</v>
      </c>
      <c r="D450" s="1009"/>
      <c r="E450" s="1009"/>
      <c r="F450" s="1009"/>
      <c r="G450" s="1009"/>
      <c r="H450" s="1009"/>
      <c r="I450" s="1009"/>
      <c r="J450" s="1009"/>
      <c r="K450" s="1009"/>
      <c r="L450" s="1009"/>
      <c r="M450" s="1009"/>
    </row>
    <row r="451" spans="1:13" x14ac:dyDescent="0.2">
      <c r="A451" s="693">
        <v>447</v>
      </c>
      <c r="B451" s="773" t="str">
        <f t="shared" si="7"/>
        <v>The emission factor of the waste gases will not impact the emissions attributed to this production process, due to the special rules for waste gases. Inputs there are therefore optional.</v>
      </c>
      <c r="C451" s="773" t="s">
        <v>3483</v>
      </c>
      <c r="D451" s="1009"/>
      <c r="E451" s="1009"/>
      <c r="F451" s="1009"/>
      <c r="G451" s="1009"/>
      <c r="H451" s="1009"/>
      <c r="I451" s="1009"/>
      <c r="J451" s="1009"/>
      <c r="K451" s="1009"/>
      <c r="L451" s="1009"/>
      <c r="M451" s="1009"/>
    </row>
    <row r="452" spans="1:13" ht="12.75" x14ac:dyDescent="0.2">
      <c r="A452" s="693">
        <v>448</v>
      </c>
      <c r="B452" s="742" t="str">
        <f t="shared" si="7"/>
        <v>j)</v>
      </c>
      <c r="C452" s="742" t="s">
        <v>3484</v>
      </c>
      <c r="D452" s="1015"/>
      <c r="E452" s="1015"/>
      <c r="F452" s="1015"/>
      <c r="G452" s="1015"/>
      <c r="H452" s="1015"/>
      <c r="I452" s="1015"/>
      <c r="J452" s="1015"/>
      <c r="K452" s="1015"/>
      <c r="L452" s="1015"/>
      <c r="M452" s="1015"/>
    </row>
    <row r="453" spans="1:13" x14ac:dyDescent="0.2">
      <c r="A453" s="693">
        <v>449</v>
      </c>
      <c r="B453" s="773" t="str">
        <f t="shared" si="7"/>
        <v>Please enter the total amount of electricity consumed within the system boundaries of the production process.</v>
      </c>
      <c r="C453" s="773" t="s">
        <v>3485</v>
      </c>
      <c r="D453" s="1009"/>
      <c r="E453" s="1009"/>
      <c r="F453" s="1009"/>
      <c r="G453" s="1009"/>
      <c r="H453" s="1009"/>
      <c r="I453" s="1009"/>
      <c r="J453" s="1009"/>
      <c r="K453" s="1009"/>
      <c r="L453" s="1009"/>
      <c r="M453" s="1009"/>
    </row>
    <row r="454" spans="1:13" x14ac:dyDescent="0.2">
      <c r="A454" s="693">
        <v>450</v>
      </c>
      <c r="B454" s="773" t="str">
        <f t="shared" si="7"/>
        <v>Please enter the average emission factor of the electricity consumed using the methods below for determination of this factor.</v>
      </c>
      <c r="C454" s="773" t="s">
        <v>3486</v>
      </c>
      <c r="D454" s="1009"/>
      <c r="E454" s="1009"/>
      <c r="F454" s="1009"/>
      <c r="G454" s="1009"/>
      <c r="H454" s="1009"/>
      <c r="I454" s="1009"/>
      <c r="J454" s="1009"/>
      <c r="K454" s="1009"/>
      <c r="L454" s="1009"/>
      <c r="M454" s="1009"/>
    </row>
    <row r="455" spans="1:13" x14ac:dyDescent="0.2">
      <c r="A455" s="693">
        <v>451</v>
      </c>
      <c r="B455" s="773" t="str">
        <f t="shared" si="7"/>
        <v>The emission factor of the electricity can be determined by the following methods:</v>
      </c>
      <c r="C455" s="773" t="s">
        <v>3487</v>
      </c>
      <c r="D455" s="1009"/>
      <c r="E455" s="1009"/>
      <c r="F455" s="1009"/>
      <c r="G455" s="1009"/>
      <c r="H455" s="1009"/>
      <c r="I455" s="1009"/>
      <c r="J455" s="1009"/>
      <c r="K455" s="1009"/>
      <c r="L455" s="1009"/>
      <c r="M455" s="1009"/>
    </row>
    <row r="456" spans="1:13" x14ac:dyDescent="0.2">
      <c r="A456" s="693">
        <v>452</v>
      </c>
      <c r="B456" s="773" t="str">
        <f t="shared" si="7"/>
        <v xml:space="preserve">CO2 emission factor based on specific default values  </v>
      </c>
      <c r="C456" s="773" t="s">
        <v>3488</v>
      </c>
      <c r="D456" s="1009"/>
      <c r="E456" s="1009"/>
      <c r="F456" s="1009"/>
      <c r="G456" s="1009"/>
      <c r="H456" s="1009"/>
      <c r="I456" s="1009"/>
      <c r="J456" s="1009"/>
      <c r="K456" s="1009"/>
      <c r="L456" s="1009"/>
      <c r="M456" s="1009"/>
    </row>
    <row r="457" spans="1:13" x14ac:dyDescent="0.2">
      <c r="A457" s="693">
        <v>453</v>
      </c>
      <c r="B457" s="773" t="str">
        <f t="shared" si="7"/>
        <v xml:space="preserve">CO2 emission factor based on alternative default value </v>
      </c>
      <c r="C457" s="773" t="s">
        <v>3489</v>
      </c>
      <c r="D457" s="1009"/>
      <c r="E457" s="1009"/>
      <c r="F457" s="1009"/>
      <c r="G457" s="1009"/>
      <c r="H457" s="1009"/>
      <c r="I457" s="1009"/>
      <c r="J457" s="1009"/>
      <c r="K457" s="1009"/>
      <c r="L457" s="1009"/>
      <c r="M457" s="1009"/>
    </row>
    <row r="458" spans="1:13" x14ac:dyDescent="0.2">
      <c r="A458" s="693">
        <v>454</v>
      </c>
      <c r="B458" s="773" t="str">
        <f t="shared" si="7"/>
        <v>CO2 emission factor based on reliable data demonstrated by the importer</v>
      </c>
      <c r="C458" s="773" t="s">
        <v>3490</v>
      </c>
      <c r="D458" s="1009"/>
      <c r="E458" s="1009"/>
      <c r="F458" s="1009"/>
      <c r="G458" s="1009"/>
      <c r="H458" s="1009"/>
      <c r="I458" s="1009"/>
      <c r="J458" s="1009"/>
      <c r="K458" s="1009"/>
      <c r="L458" s="1009"/>
      <c r="M458" s="1009"/>
    </row>
    <row r="459" spans="1:13" x14ac:dyDescent="0.2">
      <c r="A459" s="693">
        <v>455</v>
      </c>
      <c r="B459" s="773" t="str">
        <f t="shared" ref="B459:B522" si="8">IFERROR(INDEX(C459:M459,$A$4-2),$C459)</f>
        <v xml:space="preserve">CO2 emission factor based on actual CO2 emissions of the installation </v>
      </c>
      <c r="C459" s="773" t="s">
        <v>3491</v>
      </c>
      <c r="D459" s="1009"/>
      <c r="E459" s="1009"/>
      <c r="F459" s="1009"/>
      <c r="G459" s="1009"/>
      <c r="H459" s="1009"/>
      <c r="I459" s="1009"/>
      <c r="J459" s="1009"/>
      <c r="K459" s="1009"/>
      <c r="L459" s="1009"/>
      <c r="M459" s="1009"/>
    </row>
    <row r="460" spans="1:13" x14ac:dyDescent="0.2">
      <c r="A460" s="693">
        <v>456</v>
      </c>
      <c r="B460" s="780" t="str">
        <f t="shared" si="8"/>
        <v>Mix</v>
      </c>
      <c r="C460" s="780" t="s">
        <v>3492</v>
      </c>
      <c r="D460" s="1018"/>
      <c r="E460" s="1018"/>
      <c r="F460" s="1018"/>
      <c r="G460" s="1018"/>
      <c r="H460" s="1018"/>
      <c r="I460" s="1018"/>
      <c r="J460" s="1018"/>
      <c r="K460" s="1018"/>
      <c r="L460" s="1018"/>
      <c r="M460" s="1018"/>
    </row>
    <row r="461" spans="1:13" x14ac:dyDescent="0.2">
      <c r="A461" s="693">
        <v>457</v>
      </c>
      <c r="B461" s="773" t="str">
        <f t="shared" si="8"/>
        <v>Where the electricity is not predominantly obtained from one source or the EF determined by more than one of the above sources, the EF is determined as a mix of the methods above.</v>
      </c>
      <c r="C461" s="773" t="s">
        <v>3493</v>
      </c>
      <c r="D461" s="1009"/>
      <c r="E461" s="1009"/>
      <c r="F461" s="1009"/>
      <c r="G461" s="1009"/>
      <c r="H461" s="1009"/>
      <c r="I461" s="1009"/>
      <c r="J461" s="1009"/>
      <c r="K461" s="1009"/>
      <c r="L461" s="1009"/>
      <c r="M461" s="1009"/>
    </row>
    <row r="462" spans="1:13" ht="12.75" x14ac:dyDescent="0.2">
      <c r="A462" s="693">
        <v>458</v>
      </c>
      <c r="B462" s="742" t="str">
        <f t="shared" si="8"/>
        <v>k)</v>
      </c>
      <c r="C462" s="742" t="s">
        <v>3494</v>
      </c>
      <c r="D462" s="1015"/>
      <c r="E462" s="1015"/>
      <c r="F462" s="1015"/>
      <c r="G462" s="1015"/>
      <c r="H462" s="1015"/>
      <c r="I462" s="1015"/>
      <c r="J462" s="1015"/>
      <c r="K462" s="1015"/>
      <c r="L462" s="1015"/>
      <c r="M462" s="1015"/>
    </row>
    <row r="463" spans="1:13" x14ac:dyDescent="0.2">
      <c r="A463" s="693">
        <v>459</v>
      </c>
      <c r="B463" s="774" t="str">
        <f t="shared" si="8"/>
        <v>Electricity exported</v>
      </c>
      <c r="C463" s="774" t="s">
        <v>3495</v>
      </c>
      <c r="D463" s="1010"/>
      <c r="E463" s="1010"/>
      <c r="F463" s="1010"/>
      <c r="G463" s="1010"/>
      <c r="H463" s="1010"/>
      <c r="I463" s="1010"/>
      <c r="J463" s="1010"/>
      <c r="K463" s="1010"/>
      <c r="L463" s="1010"/>
      <c r="M463" s="1010"/>
    </row>
    <row r="464" spans="1:13" x14ac:dyDescent="0.2">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3496</v>
      </c>
      <c r="D464" s="1010"/>
      <c r="E464" s="1010"/>
      <c r="F464" s="1010"/>
      <c r="G464" s="1010"/>
      <c r="H464" s="1010"/>
      <c r="I464" s="1010"/>
      <c r="J464" s="1010"/>
      <c r="K464" s="1010"/>
      <c r="L464" s="1010"/>
      <c r="M464" s="1010"/>
    </row>
    <row r="465" spans="1:13" ht="15.75" x14ac:dyDescent="0.2">
      <c r="A465" s="693">
        <v>461</v>
      </c>
      <c r="B465" s="315" t="str">
        <f t="shared" si="8"/>
        <v>Summary of products</v>
      </c>
      <c r="C465" s="315" t="s">
        <v>3497</v>
      </c>
      <c r="D465" s="939"/>
      <c r="E465" s="939"/>
      <c r="F465" s="939"/>
      <c r="G465" s="939"/>
      <c r="H465" s="939"/>
      <c r="I465" s="939"/>
      <c r="J465" s="939"/>
      <c r="K465" s="939"/>
      <c r="L465" s="939"/>
      <c r="M465" s="939"/>
    </row>
    <row r="466" spans="1:13" x14ac:dyDescent="0.2">
      <c r="A466" s="693">
        <v>462</v>
      </c>
      <c r="B466" s="767" t="str">
        <f t="shared" si="8"/>
        <v>Please find below the detailed guidance on how to complete the sheet "Summary_Products".</v>
      </c>
      <c r="C466" s="767" t="s">
        <v>3498</v>
      </c>
      <c r="D466" s="999"/>
      <c r="E466" s="999"/>
      <c r="F466" s="999"/>
      <c r="G466" s="999"/>
      <c r="H466" s="999"/>
      <c r="I466" s="999"/>
      <c r="J466" s="999"/>
      <c r="K466" s="999"/>
      <c r="L466" s="999"/>
      <c r="M466" s="999"/>
    </row>
    <row r="467" spans="1:13" x14ac:dyDescent="0.2">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3499</v>
      </c>
      <c r="D467" s="1013"/>
      <c r="E467" s="1013"/>
      <c r="F467" s="1013"/>
      <c r="G467" s="1013"/>
      <c r="H467" s="1013"/>
      <c r="I467" s="1013"/>
      <c r="J467" s="1013"/>
      <c r="K467" s="1013"/>
      <c r="L467" s="1013"/>
      <c r="M467" s="1013"/>
    </row>
    <row r="468" spans="1:13" x14ac:dyDescent="0.2">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3500</v>
      </c>
      <c r="D468" s="999"/>
      <c r="E468" s="999"/>
      <c r="F468" s="999"/>
      <c r="G468" s="999"/>
      <c r="H468" s="999"/>
      <c r="I468" s="999"/>
      <c r="J468" s="999"/>
      <c r="K468" s="999"/>
      <c r="L468" s="999"/>
      <c r="M468" s="999"/>
    </row>
    <row r="469" spans="1:13" x14ac:dyDescent="0.2">
      <c r="A469" s="693">
        <v>465</v>
      </c>
      <c r="B469" s="776" t="str">
        <f t="shared" si="8"/>
        <v>All information provided (specific embedded emissions, carbon price due, etc.) shall relate to the same reference period as entered in sheet A, section 1.</v>
      </c>
      <c r="C469" s="776" t="s">
        <v>3501</v>
      </c>
      <c r="D469" s="1013"/>
      <c r="E469" s="1013"/>
      <c r="F469" s="1013"/>
      <c r="G469" s="1013"/>
      <c r="H469" s="1013"/>
      <c r="I469" s="1013"/>
      <c r="J469" s="1013"/>
      <c r="K469" s="1013"/>
      <c r="L469" s="1013"/>
      <c r="M469" s="1013"/>
    </row>
    <row r="470" spans="1:13" x14ac:dyDescent="0.2">
      <c r="A470" s="693">
        <v>466</v>
      </c>
      <c r="B470" s="767" t="str">
        <f t="shared" si="8"/>
        <v>An example for how to complete a row is provided at the top of the table in sheet "Summary_Products".</v>
      </c>
      <c r="C470" s="767" t="s">
        <v>3502</v>
      </c>
      <c r="D470" s="999"/>
      <c r="E470" s="999"/>
      <c r="F470" s="999"/>
      <c r="G470" s="999"/>
      <c r="H470" s="999"/>
      <c r="I470" s="999"/>
      <c r="J470" s="999"/>
      <c r="K470" s="999"/>
      <c r="L470" s="999"/>
      <c r="M470" s="999"/>
    </row>
    <row r="471" spans="1:13" x14ac:dyDescent="0.2">
      <c r="A471" s="693">
        <v>467</v>
      </c>
      <c r="B471" s="777" t="str">
        <f t="shared" si="8"/>
        <v>General parameters</v>
      </c>
      <c r="C471" s="777" t="s">
        <v>3503</v>
      </c>
      <c r="D471" s="1014"/>
      <c r="E471" s="1014"/>
      <c r="F471" s="1014"/>
      <c r="G471" s="1014"/>
      <c r="H471" s="1014"/>
      <c r="I471" s="1014"/>
      <c r="J471" s="1014"/>
      <c r="K471" s="1014"/>
      <c r="L471" s="1014"/>
      <c r="M471" s="1014"/>
    </row>
    <row r="472" spans="1:13" x14ac:dyDescent="0.2">
      <c r="A472" s="693">
        <v>468</v>
      </c>
      <c r="B472" s="782" t="str">
        <f t="shared" si="8"/>
        <v>Production process from which the products arise</v>
      </c>
      <c r="C472" s="782" t="s">
        <v>1389</v>
      </c>
      <c r="D472" s="1020"/>
      <c r="E472" s="1020"/>
      <c r="F472" s="1020"/>
      <c r="G472" s="1020"/>
      <c r="H472" s="1020"/>
      <c r="I472" s="1020"/>
      <c r="J472" s="1020"/>
      <c r="K472" s="1020"/>
      <c r="L472" s="1020"/>
      <c r="M472" s="1020"/>
    </row>
    <row r="473" spans="1:13" x14ac:dyDescent="0.2">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3504</v>
      </c>
      <c r="D473" s="1009"/>
      <c r="E473" s="1009"/>
      <c r="F473" s="1009"/>
      <c r="G473" s="1009"/>
      <c r="H473" s="1009"/>
      <c r="I473" s="1009"/>
      <c r="J473" s="1009"/>
      <c r="K473" s="1009"/>
      <c r="L473" s="1009"/>
      <c r="M473" s="1009"/>
    </row>
    <row r="474" spans="1:13" x14ac:dyDescent="0.2">
      <c r="A474" s="693">
        <v>470</v>
      </c>
      <c r="B474" s="773" t="str">
        <f t="shared" si="8"/>
        <v>CN Codes</v>
      </c>
      <c r="C474" s="773" t="s">
        <v>1391</v>
      </c>
      <c r="D474" s="1009"/>
      <c r="E474" s="1009"/>
      <c r="F474" s="1009"/>
      <c r="G474" s="1009"/>
      <c r="H474" s="1009"/>
      <c r="I474" s="1009"/>
      <c r="J474" s="1009"/>
      <c r="K474" s="1009"/>
      <c r="L474" s="1009"/>
      <c r="M474" s="1009"/>
    </row>
    <row r="475" spans="1:13" x14ac:dyDescent="0.2">
      <c r="A475" s="693">
        <v>471</v>
      </c>
      <c r="B475" s="773" t="str">
        <f t="shared" si="8"/>
        <v>Please select here the relevant CN code, as disaggregated as possible (i.e. 8-digit code, if possible)</v>
      </c>
      <c r="C475" s="773" t="s">
        <v>3505</v>
      </c>
      <c r="D475" s="1009"/>
      <c r="E475" s="1009"/>
      <c r="F475" s="1009"/>
      <c r="G475" s="1009"/>
      <c r="H475" s="1009"/>
      <c r="I475" s="1009"/>
      <c r="J475" s="1009"/>
      <c r="K475" s="1009"/>
      <c r="L475" s="1009"/>
      <c r="M475" s="1009"/>
    </row>
    <row r="476" spans="1:13" x14ac:dyDescent="0.2">
      <c r="A476" s="693">
        <v>472</v>
      </c>
      <c r="B476" s="773" t="str">
        <f t="shared" si="8"/>
        <v>Product name 
(used for communication with reporting declarant)</v>
      </c>
      <c r="C476" s="773" t="s">
        <v>3506</v>
      </c>
      <c r="D476" s="1009"/>
      <c r="E476" s="1009"/>
      <c r="F476" s="1009"/>
      <c r="G476" s="1009"/>
      <c r="H476" s="1009"/>
      <c r="I476" s="1009"/>
      <c r="J476" s="1009"/>
      <c r="K476" s="1009"/>
      <c r="L476" s="1009"/>
      <c r="M476" s="1009"/>
    </row>
    <row r="477" spans="1:13" x14ac:dyDescent="0.2">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3507</v>
      </c>
      <c r="D477" s="1009"/>
      <c r="E477" s="1009"/>
      <c r="F477" s="1009"/>
      <c r="G477" s="1009"/>
      <c r="H477" s="1009"/>
      <c r="I477" s="1009"/>
      <c r="J477" s="1009"/>
      <c r="K477" s="1009"/>
      <c r="L477" s="1009"/>
      <c r="M477" s="1009"/>
    </row>
    <row r="478" spans="1:13" x14ac:dyDescent="0.2">
      <c r="A478" s="693">
        <v>474</v>
      </c>
      <c r="B478" s="780" t="str">
        <f t="shared" si="8"/>
        <v>Embedded emissions</v>
      </c>
      <c r="C478" s="780" t="s">
        <v>3508</v>
      </c>
      <c r="D478" s="1018"/>
      <c r="E478" s="1018"/>
      <c r="F478" s="1018"/>
      <c r="G478" s="1018"/>
      <c r="H478" s="1018"/>
      <c r="I478" s="1018"/>
      <c r="J478" s="1018"/>
      <c r="K478" s="1018"/>
      <c r="L478" s="1018"/>
      <c r="M478" s="1018"/>
    </row>
    <row r="479" spans="1:13" x14ac:dyDescent="0.2">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3509</v>
      </c>
      <c r="D479" s="1009"/>
      <c r="E479" s="1009"/>
      <c r="F479" s="1009"/>
      <c r="G479" s="1009"/>
      <c r="H479" s="1009"/>
      <c r="I479" s="1009"/>
      <c r="J479" s="1009"/>
      <c r="K479" s="1009"/>
      <c r="L479" s="1009"/>
      <c r="M479" s="1009"/>
    </row>
    <row r="480" spans="1:13" x14ac:dyDescent="0.2">
      <c r="A480" s="693">
        <v>476</v>
      </c>
      <c r="B480" s="780" t="str">
        <f t="shared" si="8"/>
        <v>Embedded electricity</v>
      </c>
      <c r="C480" s="780" t="s">
        <v>3510</v>
      </c>
      <c r="D480" s="1018"/>
      <c r="E480" s="1018"/>
      <c r="F480" s="1018"/>
      <c r="G480" s="1018"/>
      <c r="H480" s="1018"/>
      <c r="I480" s="1018"/>
      <c r="J480" s="1018"/>
      <c r="K480" s="1018"/>
      <c r="L480" s="1018"/>
      <c r="M480" s="1018"/>
    </row>
    <row r="481" spans="1:13" x14ac:dyDescent="0.2">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3511</v>
      </c>
      <c r="D481" s="1018"/>
      <c r="E481" s="1018"/>
      <c r="F481" s="1018"/>
      <c r="G481" s="1018"/>
      <c r="H481" s="1018"/>
      <c r="I481" s="1018"/>
      <c r="J481" s="1018"/>
      <c r="K481" s="1018"/>
      <c r="L481" s="1018"/>
      <c r="M481" s="1018"/>
    </row>
    <row r="482" spans="1:13" x14ac:dyDescent="0.2">
      <c r="A482" s="693">
        <v>478</v>
      </c>
      <c r="B482" s="777" t="str">
        <f t="shared" si="8"/>
        <v>Special parameters for certain aggregated good types</v>
      </c>
      <c r="C482" s="777" t="s">
        <v>3512</v>
      </c>
      <c r="D482" s="1014"/>
      <c r="E482" s="1014"/>
      <c r="F482" s="1014"/>
      <c r="G482" s="1014"/>
      <c r="H482" s="1014"/>
      <c r="I482" s="1014"/>
      <c r="J482" s="1014"/>
      <c r="K482" s="1014"/>
      <c r="L482" s="1014"/>
      <c r="M482" s="1014"/>
    </row>
    <row r="483" spans="1:13" x14ac:dyDescent="0.2">
      <c r="A483" s="693">
        <v>479</v>
      </c>
      <c r="B483" s="780" t="str">
        <f t="shared" si="8"/>
        <v>The main reducing agent of the precursor, if known</v>
      </c>
      <c r="C483" s="780" t="s">
        <v>1401</v>
      </c>
      <c r="D483" s="1018"/>
      <c r="E483" s="1018"/>
      <c r="F483" s="1018"/>
      <c r="G483" s="1018"/>
      <c r="H483" s="1018"/>
      <c r="I483" s="1018"/>
      <c r="J483" s="1018"/>
      <c r="K483" s="1018"/>
      <c r="L483" s="1018"/>
      <c r="M483" s="1018"/>
    </row>
    <row r="484" spans="1:13" x14ac:dyDescent="0.2">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3513</v>
      </c>
      <c r="D484" s="1009"/>
      <c r="E484" s="1009"/>
      <c r="F484" s="1009"/>
      <c r="G484" s="1009"/>
      <c r="H484" s="1009"/>
      <c r="I484" s="1009"/>
      <c r="J484" s="1009"/>
      <c r="K484" s="1009"/>
      <c r="L484" s="1009"/>
      <c r="M484" s="1009"/>
    </row>
    <row r="485" spans="1:13" x14ac:dyDescent="0.2">
      <c r="A485" s="693">
        <v>481</v>
      </c>
      <c r="B485" s="780" t="str">
        <f t="shared" si="8"/>
        <v>Steel mill identification number</v>
      </c>
      <c r="C485" s="780" t="s">
        <v>1402</v>
      </c>
      <c r="D485" s="1018"/>
      <c r="E485" s="1018"/>
      <c r="F485" s="1018"/>
      <c r="G485" s="1018"/>
      <c r="H485" s="1018"/>
      <c r="I485" s="1018"/>
      <c r="J485" s="1018"/>
      <c r="K485" s="1018"/>
      <c r="L485" s="1018"/>
      <c r="M485" s="1018"/>
    </row>
    <row r="486" spans="1:13" x14ac:dyDescent="0.2">
      <c r="A486" s="693">
        <v>482</v>
      </c>
      <c r="B486" s="773" t="str">
        <f t="shared" si="8"/>
        <v>For steel goods, the identification number of the specific steel mill (also known as the "heat number") where a particular batch of raw materials was produced, where known.</v>
      </c>
      <c r="C486" s="773" t="s">
        <v>3514</v>
      </c>
      <c r="D486" s="1009"/>
      <c r="E486" s="1009"/>
      <c r="F486" s="1009"/>
      <c r="G486" s="1009"/>
      <c r="H486" s="1009"/>
      <c r="I486" s="1009"/>
      <c r="J486" s="1009"/>
      <c r="K486" s="1009"/>
      <c r="L486" s="1009"/>
      <c r="M486" s="1009"/>
    </row>
    <row r="487" spans="1:13" x14ac:dyDescent="0.2">
      <c r="A487" s="693">
        <v>483</v>
      </c>
      <c r="B487" s="780" t="str">
        <f t="shared" si="8"/>
        <v>% Mn</v>
      </c>
      <c r="C487" s="780" t="s">
        <v>1403</v>
      </c>
      <c r="D487" s="1018"/>
      <c r="E487" s="1018"/>
      <c r="F487" s="1018"/>
      <c r="G487" s="1018"/>
      <c r="H487" s="1018"/>
      <c r="I487" s="1018"/>
      <c r="J487" s="1018"/>
      <c r="K487" s="1018"/>
      <c r="L487" s="1018"/>
      <c r="M487" s="1018"/>
    </row>
    <row r="488" spans="1:13" x14ac:dyDescent="0.2">
      <c r="A488" s="693">
        <v>484</v>
      </c>
      <c r="B488" s="773" t="str">
        <f t="shared" si="8"/>
        <v>This parameter is relevant for the production of pig iron, direct reduced iron, crude steel, iron and steel products and ferro-manganese. Please provide here the mass % of Mn in the product.</v>
      </c>
      <c r="C488" s="773" t="s">
        <v>3515</v>
      </c>
      <c r="D488" s="1009"/>
      <c r="E488" s="1009"/>
      <c r="F488" s="1009"/>
      <c r="G488" s="1009"/>
      <c r="H488" s="1009"/>
      <c r="I488" s="1009"/>
      <c r="J488" s="1009"/>
      <c r="K488" s="1009"/>
      <c r="L488" s="1009"/>
      <c r="M488" s="1009"/>
    </row>
    <row r="489" spans="1:13" x14ac:dyDescent="0.2">
      <c r="A489" s="693">
        <v>485</v>
      </c>
      <c r="B489" s="780" t="str">
        <f t="shared" si="8"/>
        <v>% Cr</v>
      </c>
      <c r="C489" s="780" t="s">
        <v>1404</v>
      </c>
      <c r="D489" s="1018"/>
      <c r="E489" s="1018"/>
      <c r="F489" s="1018"/>
      <c r="G489" s="1018"/>
      <c r="H489" s="1018"/>
      <c r="I489" s="1018"/>
      <c r="J489" s="1018"/>
      <c r="K489" s="1018"/>
      <c r="L489" s="1018"/>
      <c r="M489" s="1018"/>
    </row>
    <row r="490" spans="1:13" x14ac:dyDescent="0.2">
      <c r="A490" s="693">
        <v>486</v>
      </c>
      <c r="B490" s="773" t="str">
        <f t="shared" si="8"/>
        <v>This parameter is relevant for the production of pig iron, direct reduced iron, crude steel, iron and steel products and ferro-chromium. Please provide here the mass % of Cr in the product.</v>
      </c>
      <c r="C490" s="773" t="s">
        <v>3516</v>
      </c>
      <c r="D490" s="1009"/>
      <c r="E490" s="1009"/>
      <c r="F490" s="1009"/>
      <c r="G490" s="1009"/>
      <c r="H490" s="1009"/>
      <c r="I490" s="1009"/>
      <c r="J490" s="1009"/>
      <c r="K490" s="1009"/>
      <c r="L490" s="1009"/>
      <c r="M490" s="1009"/>
    </row>
    <row r="491" spans="1:13" x14ac:dyDescent="0.2">
      <c r="A491" s="693">
        <v>487</v>
      </c>
      <c r="B491" s="780" t="str">
        <f t="shared" si="8"/>
        <v>% Ni</v>
      </c>
      <c r="C491" s="780" t="s">
        <v>1405</v>
      </c>
      <c r="D491" s="1018"/>
      <c r="E491" s="1018"/>
      <c r="F491" s="1018"/>
      <c r="G491" s="1018"/>
      <c r="H491" s="1018"/>
      <c r="I491" s="1018"/>
      <c r="J491" s="1018"/>
      <c r="K491" s="1018"/>
      <c r="L491" s="1018"/>
      <c r="M491" s="1018"/>
    </row>
    <row r="492" spans="1:13" x14ac:dyDescent="0.2">
      <c r="A492" s="693">
        <v>488</v>
      </c>
      <c r="B492" s="773" t="str">
        <f t="shared" si="8"/>
        <v>This parameter is relevant for the production of pig iron, direct reduced iron, crude steel, iron and steel products and ferro-nickel. Please provide here the mass % of Ni in the product.</v>
      </c>
      <c r="C492" s="773" t="s">
        <v>3517</v>
      </c>
      <c r="D492" s="1009"/>
      <c r="E492" s="1009"/>
      <c r="F492" s="1009"/>
      <c r="G492" s="1009"/>
      <c r="H492" s="1009"/>
      <c r="I492" s="1009"/>
      <c r="J492" s="1009"/>
      <c r="K492" s="1009"/>
      <c r="L492" s="1009"/>
      <c r="M492" s="1009"/>
    </row>
    <row r="493" spans="1:13" x14ac:dyDescent="0.2">
      <c r="A493" s="693">
        <v>489</v>
      </c>
      <c r="B493" s="780" t="str">
        <f t="shared" si="8"/>
        <v>% other alloys</v>
      </c>
      <c r="C493" s="780" t="s">
        <v>1406</v>
      </c>
      <c r="D493" s="1018"/>
      <c r="E493" s="1018"/>
      <c r="F493" s="1018"/>
      <c r="G493" s="1018"/>
      <c r="H493" s="1018"/>
      <c r="I493" s="1018"/>
      <c r="J493" s="1018"/>
      <c r="K493" s="1018"/>
      <c r="L493" s="1018"/>
      <c r="M493" s="1018"/>
    </row>
    <row r="494" spans="1:13" x14ac:dyDescent="0.2">
      <c r="A494" s="693">
        <v>490</v>
      </c>
      <c r="B494" s="773" t="str">
        <f t="shared" si="8"/>
        <v>This parameter is relevant for the production of pig iron, direct reduced iron, crude steel and iron and steel products. Please provide here the mass % of other alloy elements in the product.</v>
      </c>
      <c r="C494" s="773" t="s">
        <v>3518</v>
      </c>
      <c r="D494" s="1009"/>
      <c r="E494" s="1009"/>
      <c r="F494" s="1009"/>
      <c r="G494" s="1009"/>
      <c r="H494" s="1009"/>
      <c r="I494" s="1009"/>
      <c r="J494" s="1009"/>
      <c r="K494" s="1009"/>
      <c r="L494" s="1009"/>
      <c r="M494" s="1009"/>
    </row>
    <row r="495" spans="1:13" x14ac:dyDescent="0.2">
      <c r="A495" s="693">
        <v>491</v>
      </c>
      <c r="B495" s="780" t="str">
        <f t="shared" si="8"/>
        <v>% carbon</v>
      </c>
      <c r="C495" s="780" t="s">
        <v>1407</v>
      </c>
      <c r="D495" s="1018"/>
      <c r="E495" s="1018"/>
      <c r="F495" s="1018"/>
      <c r="G495" s="1018"/>
      <c r="H495" s="1018"/>
      <c r="I495" s="1018"/>
      <c r="J495" s="1018"/>
      <c r="K495" s="1018"/>
      <c r="L495" s="1018"/>
      <c r="M495" s="1018"/>
    </row>
    <row r="496" spans="1:13" x14ac:dyDescent="0.2">
      <c r="A496" s="693">
        <v>492</v>
      </c>
      <c r="B496" s="773" t="str">
        <f t="shared" si="8"/>
        <v>This parameter is relevant for the production of ferro-manganese, ferro-chromium and ferro-nickel. Please provide here the mass % of carbon in the product.</v>
      </c>
      <c r="C496" s="773" t="s">
        <v>3519</v>
      </c>
      <c r="D496" s="1009"/>
      <c r="E496" s="1009"/>
      <c r="F496" s="1009"/>
      <c r="G496" s="1009"/>
      <c r="H496" s="1009"/>
      <c r="I496" s="1009"/>
      <c r="J496" s="1009"/>
      <c r="K496" s="1009"/>
      <c r="L496" s="1009"/>
      <c r="M496" s="1009"/>
    </row>
    <row r="497" spans="1:13" x14ac:dyDescent="0.2">
      <c r="A497" s="693">
        <v>493</v>
      </c>
      <c r="B497" s="780" t="str">
        <f t="shared" si="8"/>
        <v>t scrap per t steel</v>
      </c>
      <c r="C497" s="780" t="s">
        <v>1408</v>
      </c>
      <c r="D497" s="1018"/>
      <c r="E497" s="1018"/>
      <c r="F497" s="1018"/>
      <c r="G497" s="1018"/>
      <c r="H497" s="1018"/>
      <c r="I497" s="1018"/>
      <c r="J497" s="1018"/>
      <c r="K497" s="1018"/>
      <c r="L497" s="1018"/>
      <c r="M497" s="1018"/>
    </row>
    <row r="498" spans="1:13" x14ac:dyDescent="0.2">
      <c r="A498" s="693">
        <v>494</v>
      </c>
      <c r="B498" s="773" t="str">
        <f t="shared" si="8"/>
        <v>This parameter is relevant for the production of crude steel and iron and steel products. Please provide here the mass % of tonne scrap used per tonne of steel produced.</v>
      </c>
      <c r="C498" s="773" t="s">
        <v>3520</v>
      </c>
      <c r="D498" s="1009"/>
      <c r="E498" s="1009"/>
      <c r="F498" s="1009"/>
      <c r="G498" s="1009"/>
      <c r="H498" s="1009"/>
      <c r="I498" s="1009"/>
      <c r="J498" s="1009"/>
      <c r="K498" s="1009"/>
      <c r="L498" s="1009"/>
      <c r="M498" s="1009"/>
    </row>
    <row r="499" spans="1:13" x14ac:dyDescent="0.2">
      <c r="A499" s="693">
        <v>495</v>
      </c>
      <c r="B499" s="780" t="str">
        <f t="shared" si="8"/>
        <v>% other materials</v>
      </c>
      <c r="C499" s="780" t="s">
        <v>1409</v>
      </c>
      <c r="D499" s="1018"/>
      <c r="E499" s="1018"/>
      <c r="F499" s="1018"/>
      <c r="G499" s="1018"/>
      <c r="H499" s="1018"/>
      <c r="I499" s="1018"/>
      <c r="J499" s="1018"/>
      <c r="K499" s="1018"/>
      <c r="L499" s="1018"/>
      <c r="M499" s="1018"/>
    </row>
    <row r="500" spans="1:13" x14ac:dyDescent="0.2">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3521</v>
      </c>
      <c r="D500" s="1009"/>
      <c r="E500" s="1009"/>
      <c r="F500" s="1009"/>
      <c r="G500" s="1009"/>
      <c r="H500" s="1009"/>
      <c r="I500" s="1009"/>
      <c r="J500" s="1009"/>
      <c r="K500" s="1009"/>
      <c r="L500" s="1009"/>
      <c r="M500" s="1009"/>
    </row>
    <row r="501" spans="1:13" x14ac:dyDescent="0.2">
      <c r="A501" s="693">
        <v>497</v>
      </c>
      <c r="B501" s="780" t="str">
        <f t="shared" si="8"/>
        <v>t scrap per t aluminium</v>
      </c>
      <c r="C501" s="780" t="s">
        <v>1411</v>
      </c>
      <c r="D501" s="1018"/>
      <c r="E501" s="1018"/>
      <c r="F501" s="1018"/>
      <c r="G501" s="1018"/>
      <c r="H501" s="1018"/>
      <c r="I501" s="1018"/>
      <c r="J501" s="1018"/>
      <c r="K501" s="1018"/>
      <c r="L501" s="1018"/>
      <c r="M501" s="1018"/>
    </row>
    <row r="502" spans="1:13" x14ac:dyDescent="0.2">
      <c r="A502" s="693">
        <v>498</v>
      </c>
      <c r="B502" s="773" t="str">
        <f t="shared" si="8"/>
        <v>This parameter is relevant for the production of unwrought aluminium and aluminium products. Please provide here the mass % of tonne scrap used per tonne of aluminium produced.</v>
      </c>
      <c r="C502" s="773" t="s">
        <v>3522</v>
      </c>
      <c r="D502" s="1009"/>
      <c r="E502" s="1009"/>
      <c r="F502" s="1009"/>
      <c r="G502" s="1009"/>
      <c r="H502" s="1009"/>
      <c r="I502" s="1009"/>
      <c r="J502" s="1009"/>
      <c r="K502" s="1009"/>
      <c r="L502" s="1009"/>
      <c r="M502" s="1009"/>
    </row>
    <row r="503" spans="1:13" x14ac:dyDescent="0.2">
      <c r="A503" s="693">
        <v>499</v>
      </c>
      <c r="B503" s="780" t="str">
        <f t="shared" si="8"/>
        <v>% pre-consumer scrap</v>
      </c>
      <c r="C503" s="780" t="s">
        <v>1410</v>
      </c>
      <c r="D503" s="1018"/>
      <c r="E503" s="1018"/>
      <c r="F503" s="1018"/>
      <c r="G503" s="1018"/>
      <c r="H503" s="1018"/>
      <c r="I503" s="1018"/>
      <c r="J503" s="1018"/>
      <c r="K503" s="1018"/>
      <c r="L503" s="1018"/>
      <c r="M503" s="1018"/>
    </row>
    <row r="504" spans="1:13" x14ac:dyDescent="0.2">
      <c r="A504" s="693">
        <v>500</v>
      </c>
      <c r="B504" s="773" t="str">
        <f t="shared" si="8"/>
        <v>This parameter is relevant for the production of crude steel, unwrought aluminium and aluminium products. Please provide here the mass % of tonne pre-consumer scrap used per tonne of steel/aluminium produced.</v>
      </c>
      <c r="C504" s="773" t="s">
        <v>3523</v>
      </c>
      <c r="D504" s="1009"/>
      <c r="E504" s="1009"/>
      <c r="F504" s="1009"/>
      <c r="G504" s="1009"/>
      <c r="H504" s="1009"/>
      <c r="I504" s="1009"/>
      <c r="J504" s="1009"/>
      <c r="K504" s="1009"/>
      <c r="L504" s="1009"/>
      <c r="M504" s="1009"/>
    </row>
    <row r="505" spans="1:13" x14ac:dyDescent="0.2">
      <c r="A505" s="693">
        <v>501</v>
      </c>
      <c r="B505" s="780" t="str">
        <f t="shared" si="8"/>
        <v>% non-aluminium elements</v>
      </c>
      <c r="C505" s="780" t="s">
        <v>1412</v>
      </c>
      <c r="D505" s="1018"/>
      <c r="E505" s="1018"/>
      <c r="F505" s="1018"/>
      <c r="G505" s="1018"/>
      <c r="H505" s="1018"/>
      <c r="I505" s="1018"/>
      <c r="J505" s="1018"/>
      <c r="K505" s="1018"/>
      <c r="L505" s="1018"/>
      <c r="M505" s="1018"/>
    </row>
    <row r="506" spans="1:13" x14ac:dyDescent="0.2">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3524</v>
      </c>
      <c r="D506" s="1009"/>
      <c r="E506" s="1009"/>
      <c r="F506" s="1009"/>
      <c r="G506" s="1009"/>
      <c r="H506" s="1009"/>
      <c r="I506" s="1009"/>
      <c r="J506" s="1009"/>
      <c r="K506" s="1009"/>
      <c r="L506" s="1009"/>
      <c r="M506" s="1009"/>
    </row>
    <row r="507" spans="1:13" x14ac:dyDescent="0.2">
      <c r="A507" s="693">
        <v>503</v>
      </c>
      <c r="B507" s="780" t="str">
        <f t="shared" si="8"/>
        <v>Clinker factor</v>
      </c>
      <c r="C507" s="780" t="s">
        <v>1413</v>
      </c>
      <c r="D507" s="1018"/>
      <c r="E507" s="1018"/>
      <c r="F507" s="1018"/>
      <c r="G507" s="1018"/>
      <c r="H507" s="1018"/>
      <c r="I507" s="1018"/>
      <c r="J507" s="1018"/>
      <c r="K507" s="1018"/>
      <c r="L507" s="1018"/>
      <c r="M507" s="1018"/>
    </row>
    <row r="508" spans="1:13" x14ac:dyDescent="0.2">
      <c r="A508" s="693">
        <v>504</v>
      </c>
      <c r="B508" s="773" t="str">
        <f t="shared" si="8"/>
        <v>This parameter is relevant for the production of cement. Please provide here the clinker factor, expressed as mass % of clinker content in the cement.</v>
      </c>
      <c r="C508" s="773" t="s">
        <v>3525</v>
      </c>
      <c r="D508" s="1009"/>
      <c r="E508" s="1009"/>
      <c r="F508" s="1009"/>
      <c r="G508" s="1009"/>
      <c r="H508" s="1009"/>
      <c r="I508" s="1009"/>
      <c r="J508" s="1009"/>
      <c r="K508" s="1009"/>
      <c r="L508" s="1009"/>
      <c r="M508" s="1009"/>
    </row>
    <row r="509" spans="1:13" x14ac:dyDescent="0.2">
      <c r="A509" s="693">
        <v>505</v>
      </c>
      <c r="B509" s="780" t="str">
        <f t="shared" si="8"/>
        <v>Calcined or not</v>
      </c>
      <c r="C509" s="780" t="s">
        <v>1414</v>
      </c>
      <c r="D509" s="1018"/>
      <c r="E509" s="1018"/>
      <c r="F509" s="1018"/>
      <c r="G509" s="1018"/>
      <c r="H509" s="1018"/>
      <c r="I509" s="1018"/>
      <c r="J509" s="1018"/>
      <c r="K509" s="1018"/>
      <c r="L509" s="1018"/>
      <c r="M509" s="1018"/>
    </row>
    <row r="510" spans="1:13" x14ac:dyDescent="0.2">
      <c r="A510" s="693">
        <v>506</v>
      </c>
      <c r="B510" s="773" t="str">
        <f t="shared" si="8"/>
        <v>This parameter is relevant for the production of calcined clay. Please select here from the drop-down list whether the clay is calcined or not.</v>
      </c>
      <c r="C510" s="773" t="s">
        <v>3526</v>
      </c>
      <c r="D510" s="1009"/>
      <c r="E510" s="1009"/>
      <c r="F510" s="1009"/>
      <c r="G510" s="1009"/>
      <c r="H510" s="1009"/>
      <c r="I510" s="1009"/>
      <c r="J510" s="1009"/>
      <c r="K510" s="1009"/>
      <c r="L510" s="1009"/>
      <c r="M510" s="1009"/>
    </row>
    <row r="511" spans="1:13" x14ac:dyDescent="0.2">
      <c r="A511" s="693">
        <v>507</v>
      </c>
      <c r="B511" s="780" t="str">
        <f t="shared" si="8"/>
        <v>Concentration, if hydrous solution</v>
      </c>
      <c r="C511" s="780" t="s">
        <v>1415</v>
      </c>
      <c r="D511" s="1018"/>
      <c r="E511" s="1018"/>
      <c r="F511" s="1018"/>
      <c r="G511" s="1018"/>
      <c r="H511" s="1018"/>
      <c r="I511" s="1018"/>
      <c r="J511" s="1018"/>
      <c r="K511" s="1018"/>
      <c r="L511" s="1018"/>
      <c r="M511" s="1018"/>
    </row>
    <row r="512" spans="1:13" x14ac:dyDescent="0.2">
      <c r="A512" s="693">
        <v>508</v>
      </c>
      <c r="B512" s="773" t="str">
        <f t="shared" si="8"/>
        <v>This parameter is relevant for the production of ammonia. Please provide here the concentration of ammonia, if in hydrous solution, expressed as %.</v>
      </c>
      <c r="C512" s="773" t="s">
        <v>3527</v>
      </c>
      <c r="D512" s="1009"/>
      <c r="E512" s="1009"/>
      <c r="F512" s="1009"/>
      <c r="G512" s="1009"/>
      <c r="H512" s="1009"/>
      <c r="I512" s="1009"/>
      <c r="J512" s="1009"/>
      <c r="K512" s="1009"/>
      <c r="L512" s="1009"/>
      <c r="M512" s="1009"/>
    </row>
    <row r="513" spans="1:13" x14ac:dyDescent="0.2">
      <c r="A513" s="693">
        <v>509</v>
      </c>
      <c r="B513" s="780" t="str">
        <f t="shared" si="8"/>
        <v>% nitric acid</v>
      </c>
      <c r="C513" s="780" t="s">
        <v>1416</v>
      </c>
      <c r="D513" s="1018"/>
      <c r="E513" s="1018"/>
      <c r="F513" s="1018"/>
      <c r="G513" s="1018"/>
      <c r="H513" s="1018"/>
      <c r="I513" s="1018"/>
      <c r="J513" s="1018"/>
      <c r="K513" s="1018"/>
      <c r="L513" s="1018"/>
      <c r="M513" s="1018"/>
    </row>
    <row r="514" spans="1:13" x14ac:dyDescent="0.2">
      <c r="A514" s="693">
        <v>510</v>
      </c>
      <c r="B514" s="773" t="str">
        <f t="shared" si="8"/>
        <v>This parameter is relevant for the production of nitric acid. Please provide here the mass % of nitric acid in the product (i.e. the purity).</v>
      </c>
      <c r="C514" s="773" t="s">
        <v>3528</v>
      </c>
      <c r="D514" s="1009"/>
      <c r="E514" s="1009"/>
      <c r="F514" s="1009"/>
      <c r="G514" s="1009"/>
      <c r="H514" s="1009"/>
      <c r="I514" s="1009"/>
      <c r="J514" s="1009"/>
      <c r="K514" s="1009"/>
      <c r="L514" s="1009"/>
      <c r="M514" s="1009"/>
    </row>
    <row r="515" spans="1:13" x14ac:dyDescent="0.2">
      <c r="A515" s="693">
        <v>511</v>
      </c>
      <c r="B515" s="780" t="str">
        <f t="shared" si="8"/>
        <v>% urea</v>
      </c>
      <c r="C515" s="780" t="s">
        <v>1417</v>
      </c>
      <c r="D515" s="1018"/>
      <c r="E515" s="1018"/>
      <c r="F515" s="1018"/>
      <c r="G515" s="1018"/>
      <c r="H515" s="1018"/>
      <c r="I515" s="1018"/>
      <c r="J515" s="1018"/>
      <c r="K515" s="1018"/>
      <c r="L515" s="1018"/>
      <c r="M515" s="1018"/>
    </row>
    <row r="516" spans="1:13" x14ac:dyDescent="0.2">
      <c r="A516" s="693">
        <v>512</v>
      </c>
      <c r="B516" s="773" t="str">
        <f t="shared" si="8"/>
        <v>This parameter is relevant for the production of urea. Please provide here the mass % of urea in the product (i.e. the purity).</v>
      </c>
      <c r="C516" s="773" t="s">
        <v>3529</v>
      </c>
      <c r="D516" s="1009"/>
      <c r="E516" s="1009"/>
      <c r="F516" s="1009"/>
      <c r="G516" s="1009"/>
      <c r="H516" s="1009"/>
      <c r="I516" s="1009"/>
      <c r="J516" s="1009"/>
      <c r="K516" s="1009"/>
      <c r="L516" s="1009"/>
      <c r="M516" s="1009"/>
    </row>
    <row r="517" spans="1:13" x14ac:dyDescent="0.2">
      <c r="A517" s="693">
        <v>513</v>
      </c>
      <c r="B517" s="780" t="str">
        <f t="shared" si="8"/>
        <v>% N contained</v>
      </c>
      <c r="C517" s="780" t="s">
        <v>1418</v>
      </c>
      <c r="D517" s="1018"/>
      <c r="E517" s="1018"/>
      <c r="F517" s="1018"/>
      <c r="G517" s="1018"/>
      <c r="H517" s="1018"/>
      <c r="I517" s="1018"/>
      <c r="J517" s="1018"/>
      <c r="K517" s="1018"/>
      <c r="L517" s="1018"/>
      <c r="M517" s="1018"/>
    </row>
    <row r="518" spans="1:13" x14ac:dyDescent="0.2">
      <c r="A518" s="693">
        <v>514</v>
      </c>
      <c r="B518" s="773" t="str">
        <f t="shared" si="8"/>
        <v>This parameter is relevant for the production of urea. Please provide here the mass % nitrogen in the product.</v>
      </c>
      <c r="C518" s="773" t="s">
        <v>3530</v>
      </c>
      <c r="D518" s="1009"/>
      <c r="E518" s="1009"/>
      <c r="F518" s="1009"/>
      <c r="G518" s="1009"/>
      <c r="H518" s="1009"/>
      <c r="I518" s="1009"/>
      <c r="J518" s="1009"/>
      <c r="K518" s="1009"/>
      <c r="L518" s="1009"/>
      <c r="M518" s="1009"/>
    </row>
    <row r="519" spans="1:13" x14ac:dyDescent="0.2">
      <c r="A519" s="693">
        <v>515</v>
      </c>
      <c r="B519" s="780" t="str">
        <f t="shared" si="8"/>
        <v>% N as ammonium (NH4+)</v>
      </c>
      <c r="C519" s="780" t="s">
        <v>1419</v>
      </c>
      <c r="D519" s="1018"/>
      <c r="E519" s="1018"/>
      <c r="F519" s="1018"/>
      <c r="G519" s="1018"/>
      <c r="H519" s="1018"/>
      <c r="I519" s="1018"/>
      <c r="J519" s="1018"/>
      <c r="K519" s="1018"/>
      <c r="L519" s="1018"/>
      <c r="M519" s="1018"/>
    </row>
    <row r="520" spans="1:13" x14ac:dyDescent="0.2">
      <c r="A520" s="693">
        <v>516</v>
      </c>
      <c r="B520" s="773" t="str">
        <f t="shared" si="8"/>
        <v>This parameter is relevant for the production of mixed fertilisers. Please provide here the mass % content of nitrogen as ammonium ion.</v>
      </c>
      <c r="C520" s="773" t="s">
        <v>3531</v>
      </c>
      <c r="D520" s="1009"/>
      <c r="E520" s="1009"/>
      <c r="F520" s="1009"/>
      <c r="G520" s="1009"/>
      <c r="H520" s="1009"/>
      <c r="I520" s="1009"/>
      <c r="J520" s="1009"/>
      <c r="K520" s="1009"/>
      <c r="L520" s="1009"/>
      <c r="M520" s="1009"/>
    </row>
    <row r="521" spans="1:13" x14ac:dyDescent="0.2">
      <c r="A521" s="693">
        <v>517</v>
      </c>
      <c r="B521" s="780" t="str">
        <f t="shared" si="8"/>
        <v>% N as nitrate (NO3–)</v>
      </c>
      <c r="C521" s="780" t="s">
        <v>1420</v>
      </c>
      <c r="D521" s="1018"/>
      <c r="E521" s="1018"/>
      <c r="F521" s="1018"/>
      <c r="G521" s="1018"/>
      <c r="H521" s="1018"/>
      <c r="I521" s="1018"/>
      <c r="J521" s="1018"/>
      <c r="K521" s="1018"/>
      <c r="L521" s="1018"/>
      <c r="M521" s="1018"/>
    </row>
    <row r="522" spans="1:13" x14ac:dyDescent="0.2">
      <c r="A522" s="693">
        <v>518</v>
      </c>
      <c r="B522" s="773" t="str">
        <f t="shared" si="8"/>
        <v>This parameter is relevant for the production of mixed fertilisers. Please provide here the mass % content of nitrogen as nitrate ion.</v>
      </c>
      <c r="C522" s="773" t="s">
        <v>3532</v>
      </c>
      <c r="D522" s="1009"/>
      <c r="E522" s="1009"/>
      <c r="F522" s="1009"/>
      <c r="G522" s="1009"/>
      <c r="H522" s="1009"/>
      <c r="I522" s="1009"/>
      <c r="J522" s="1009"/>
      <c r="K522" s="1009"/>
      <c r="L522" s="1009"/>
      <c r="M522" s="1009"/>
    </row>
    <row r="523" spans="1:13" x14ac:dyDescent="0.2">
      <c r="A523" s="693">
        <v>519</v>
      </c>
      <c r="B523" s="780" t="str">
        <f t="shared" ref="B523:B586" si="9">IFERROR(INDEX(C523:M523,$A$4-2),$C523)</f>
        <v>% N as Urea</v>
      </c>
      <c r="C523" s="780" t="s">
        <v>1421</v>
      </c>
      <c r="D523" s="1018"/>
      <c r="E523" s="1018"/>
      <c r="F523" s="1018"/>
      <c r="G523" s="1018"/>
      <c r="H523" s="1018"/>
      <c r="I523" s="1018"/>
      <c r="J523" s="1018"/>
      <c r="K523" s="1018"/>
      <c r="L523" s="1018"/>
      <c r="M523" s="1018"/>
    </row>
    <row r="524" spans="1:13" x14ac:dyDescent="0.2">
      <c r="A524" s="693">
        <v>520</v>
      </c>
      <c r="B524" s="773" t="str">
        <f t="shared" si="9"/>
        <v>This parameter is relevant for the production of mixed fertilisers. Please provide here the mass % content of urea.</v>
      </c>
      <c r="C524" s="773" t="s">
        <v>3533</v>
      </c>
      <c r="D524" s="1009"/>
      <c r="E524" s="1009"/>
      <c r="F524" s="1009"/>
      <c r="G524" s="1009"/>
      <c r="H524" s="1009"/>
      <c r="I524" s="1009"/>
      <c r="J524" s="1009"/>
      <c r="K524" s="1009"/>
      <c r="L524" s="1009"/>
      <c r="M524" s="1009"/>
    </row>
    <row r="525" spans="1:13" x14ac:dyDescent="0.2">
      <c r="A525" s="693">
        <v>521</v>
      </c>
      <c r="B525" s="780" t="str">
        <f t="shared" si="9"/>
        <v>% N in other (organic) forms</v>
      </c>
      <c r="C525" s="780" t="s">
        <v>1422</v>
      </c>
      <c r="D525" s="1018"/>
      <c r="E525" s="1018"/>
      <c r="F525" s="1018"/>
      <c r="G525" s="1018"/>
      <c r="H525" s="1018"/>
      <c r="I525" s="1018"/>
      <c r="J525" s="1018"/>
      <c r="K525" s="1018"/>
      <c r="L525" s="1018"/>
      <c r="M525" s="1018"/>
    </row>
    <row r="526" spans="1:13" x14ac:dyDescent="0.2">
      <c r="A526" s="693">
        <v>522</v>
      </c>
      <c r="B526" s="773" t="str">
        <f t="shared" si="9"/>
        <v>This parameter is relevant for the production of mixed fertilisers. Please provide here the mass % content of nitrogen in other forms.</v>
      </c>
      <c r="C526" s="773" t="s">
        <v>3534</v>
      </c>
      <c r="D526" s="1009"/>
      <c r="E526" s="1009"/>
      <c r="F526" s="1009"/>
      <c r="G526" s="1009"/>
      <c r="H526" s="1009"/>
      <c r="I526" s="1009"/>
      <c r="J526" s="1009"/>
      <c r="K526" s="1009"/>
      <c r="L526" s="1009"/>
      <c r="M526" s="1009"/>
    </row>
    <row r="527" spans="1:13" x14ac:dyDescent="0.2">
      <c r="A527" s="693">
        <v>523</v>
      </c>
      <c r="B527" s="777" t="str">
        <f t="shared" si="9"/>
        <v>Information on carbon price due</v>
      </c>
      <c r="C527" s="777" t="s">
        <v>3535</v>
      </c>
      <c r="D527" s="1014"/>
      <c r="E527" s="1014"/>
      <c r="F527" s="1014"/>
      <c r="G527" s="1014"/>
      <c r="H527" s="1014"/>
      <c r="I527" s="1014"/>
      <c r="J527" s="1014"/>
      <c r="K527" s="1014"/>
      <c r="L527" s="1014"/>
      <c r="M527" s="1014"/>
    </row>
    <row r="528" spans="1:13" x14ac:dyDescent="0.2">
      <c r="A528" s="693">
        <v>524</v>
      </c>
      <c r="B528" s="783" t="str">
        <f t="shared" si="9"/>
        <v>Note</v>
      </c>
      <c r="C528" s="783" t="s">
        <v>3536</v>
      </c>
      <c r="D528" s="1021"/>
      <c r="E528" s="1021"/>
      <c r="F528" s="1021"/>
      <c r="G528" s="1021"/>
      <c r="H528" s="1021"/>
      <c r="I528" s="1021"/>
      <c r="J528" s="1021"/>
      <c r="K528" s="1021"/>
      <c r="L528" s="1021"/>
      <c r="M528" s="1021"/>
    </row>
    <row r="529" spans="1:13" x14ac:dyDescent="0.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3537</v>
      </c>
      <c r="D529" s="1021"/>
      <c r="E529" s="1021"/>
      <c r="F529" s="1021"/>
      <c r="G529" s="1021"/>
      <c r="H529" s="1021"/>
      <c r="I529" s="1021"/>
      <c r="J529" s="1021"/>
      <c r="K529" s="1021"/>
      <c r="L529" s="1021"/>
      <c r="M529" s="1021"/>
    </row>
    <row r="530" spans="1:13" x14ac:dyDescent="0.2">
      <c r="A530" s="693">
        <v>526</v>
      </c>
      <c r="B530" s="780" t="str">
        <f t="shared" si="9"/>
        <v>Form of carbon price</v>
      </c>
      <c r="C530" s="780" t="s">
        <v>1423</v>
      </c>
      <c r="D530" s="1018"/>
      <c r="E530" s="1018"/>
      <c r="F530" s="1018"/>
      <c r="G530" s="1018"/>
      <c r="H530" s="1018"/>
      <c r="I530" s="1018"/>
      <c r="J530" s="1018"/>
      <c r="K530" s="1018"/>
      <c r="L530" s="1018"/>
      <c r="M530" s="1018"/>
    </row>
    <row r="531" spans="1:13" x14ac:dyDescent="0.2">
      <c r="A531" s="693">
        <v>527</v>
      </c>
      <c r="B531" s="773" t="str">
        <f t="shared" si="9"/>
        <v>Please select from the drop-down list whether the form of carbon price is an emissions trading system (ETS), a carbon tax, a combination of instruments, or other form of carbon pricing.</v>
      </c>
      <c r="C531" s="773" t="s">
        <v>3538</v>
      </c>
      <c r="D531" s="1009"/>
      <c r="E531" s="1009"/>
      <c r="F531" s="1009"/>
      <c r="G531" s="1009"/>
      <c r="H531" s="1009"/>
      <c r="I531" s="1009"/>
      <c r="J531" s="1009"/>
      <c r="K531" s="1009"/>
      <c r="L531" s="1009"/>
      <c r="M531" s="1009"/>
    </row>
    <row r="532" spans="1:13" x14ac:dyDescent="0.2">
      <c r="A532" s="693">
        <v>528</v>
      </c>
      <c r="B532" s="780" t="str">
        <f t="shared" si="9"/>
        <v>Share of total embedded emissions covered by the carbon price</v>
      </c>
      <c r="C532" s="780" t="s">
        <v>1424</v>
      </c>
      <c r="D532" s="1018"/>
      <c r="E532" s="1018"/>
      <c r="F532" s="1018"/>
      <c r="G532" s="1018"/>
      <c r="H532" s="1018"/>
      <c r="I532" s="1018"/>
      <c r="J532" s="1018"/>
      <c r="K532" s="1018"/>
      <c r="L532" s="1018"/>
      <c r="M532" s="1018"/>
    </row>
    <row r="533" spans="1:13" x14ac:dyDescent="0.2">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3539</v>
      </c>
      <c r="D533" s="1009"/>
      <c r="E533" s="1009"/>
      <c r="F533" s="1009"/>
      <c r="G533" s="1009"/>
      <c r="H533" s="1009"/>
      <c r="I533" s="1009"/>
      <c r="J533" s="1009"/>
      <c r="K533" s="1009"/>
      <c r="L533" s="1009"/>
      <c r="M533" s="1009"/>
    </row>
    <row r="534" spans="1:13" x14ac:dyDescent="0.2">
      <c r="A534" s="693">
        <v>530</v>
      </c>
      <c r="B534" s="780" t="str">
        <f t="shared" si="9"/>
        <v>Currency</v>
      </c>
      <c r="C534" s="780" t="s">
        <v>1426</v>
      </c>
      <c r="D534" s="1018"/>
      <c r="E534" s="1018"/>
      <c r="F534" s="1018"/>
      <c r="G534" s="1018"/>
      <c r="H534" s="1018"/>
      <c r="I534" s="1018"/>
      <c r="J534" s="1018"/>
      <c r="K534" s="1018"/>
      <c r="L534" s="1018"/>
      <c r="M534" s="1018"/>
    </row>
    <row r="535" spans="1:13" x14ac:dyDescent="0.2">
      <c r="A535" s="693">
        <v>531</v>
      </c>
      <c r="B535" s="773" t="str">
        <f t="shared" si="9"/>
        <v>Please enter the currency in which the carbon price is being due.</v>
      </c>
      <c r="C535" s="773" t="s">
        <v>3540</v>
      </c>
      <c r="D535" s="1009"/>
      <c r="E535" s="1009"/>
      <c r="F535" s="1009"/>
      <c r="G535" s="1009"/>
      <c r="H535" s="1009"/>
      <c r="I535" s="1009"/>
      <c r="J535" s="1009"/>
      <c r="K535" s="1009"/>
      <c r="L535" s="1009"/>
      <c r="M535" s="1009"/>
    </row>
    <row r="536" spans="1:13" x14ac:dyDescent="0.2">
      <c r="A536" s="693">
        <v>532</v>
      </c>
      <c r="B536" s="773" t="str">
        <f t="shared" si="9"/>
        <v>Please enter here the carbon price due per tonne or MWh (as applicable) of product in the relevant currency. This value shall not include any rebate such as free allocation or financial compensation.</v>
      </c>
      <c r="C536" s="773" t="s">
        <v>3541</v>
      </c>
      <c r="D536" s="1009"/>
      <c r="E536" s="1009"/>
      <c r="F536" s="1009"/>
      <c r="G536" s="1009"/>
      <c r="H536" s="1009"/>
      <c r="I536" s="1009"/>
      <c r="J536" s="1009"/>
      <c r="K536" s="1009"/>
      <c r="L536" s="1009"/>
      <c r="M536" s="1009"/>
    </row>
    <row r="537" spans="1:13" x14ac:dyDescent="0.2">
      <c r="A537" s="693">
        <v>533</v>
      </c>
      <c r="B537" s="780" t="str">
        <f t="shared" si="9"/>
        <v>Form of rebate</v>
      </c>
      <c r="C537" s="780" t="s">
        <v>1428</v>
      </c>
      <c r="D537" s="1018"/>
      <c r="E537" s="1018"/>
      <c r="F537" s="1018"/>
      <c r="G537" s="1018"/>
      <c r="H537" s="1018"/>
      <c r="I537" s="1018"/>
      <c r="J537" s="1018"/>
      <c r="K537" s="1018"/>
      <c r="L537" s="1018"/>
      <c r="M537" s="1018"/>
    </row>
    <row r="538" spans="1:13" x14ac:dyDescent="0.2">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3542</v>
      </c>
      <c r="D538" s="1009"/>
      <c r="E538" s="1009"/>
      <c r="F538" s="1009"/>
      <c r="G538" s="1009"/>
      <c r="H538" s="1009"/>
      <c r="I538" s="1009"/>
      <c r="J538" s="1009"/>
      <c r="K538" s="1009"/>
      <c r="L538" s="1009"/>
      <c r="M538" s="1009"/>
    </row>
    <row r="539" spans="1:13" x14ac:dyDescent="0.2">
      <c r="A539" s="693">
        <v>535</v>
      </c>
      <c r="B539" s="780" t="str">
        <f t="shared" si="9"/>
        <v>Share of embedded emissions covered by the rebate</v>
      </c>
      <c r="C539" s="780" t="s">
        <v>1429</v>
      </c>
      <c r="D539" s="1018"/>
      <c r="E539" s="1018"/>
      <c r="F539" s="1018"/>
      <c r="G539" s="1018"/>
      <c r="H539" s="1018"/>
      <c r="I539" s="1018"/>
      <c r="J539" s="1018"/>
      <c r="K539" s="1018"/>
      <c r="L539" s="1018"/>
      <c r="M539" s="1018"/>
    </row>
    <row r="540" spans="1:13" x14ac:dyDescent="0.2">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3543</v>
      </c>
      <c r="D540" s="1009"/>
      <c r="E540" s="1009"/>
      <c r="F540" s="1009"/>
      <c r="G540" s="1009"/>
      <c r="H540" s="1009"/>
      <c r="I540" s="1009"/>
      <c r="J540" s="1009"/>
      <c r="K540" s="1009"/>
      <c r="L540" s="1009"/>
      <c r="M540" s="1009"/>
    </row>
    <row r="541" spans="1:13" x14ac:dyDescent="0.2">
      <c r="A541" s="693">
        <v>537</v>
      </c>
      <c r="B541" s="773" t="str">
        <f t="shared" si="9"/>
        <v xml:space="preserve">Please enter here the rebate per tonne or MWh (as applicable) of product covered by the rebate in the relevant currency. </v>
      </c>
      <c r="C541" s="773" t="s">
        <v>3544</v>
      </c>
      <c r="D541" s="1009"/>
      <c r="E541" s="1009"/>
      <c r="F541" s="1009"/>
      <c r="G541" s="1009"/>
      <c r="H541" s="1009"/>
      <c r="I541" s="1009"/>
      <c r="J541" s="1009"/>
      <c r="K541" s="1009"/>
      <c r="L541" s="1009"/>
      <c r="M541" s="1009"/>
    </row>
    <row r="542" spans="1:13" x14ac:dyDescent="0.2">
      <c r="A542" s="693">
        <v>538</v>
      </c>
      <c r="B542" s="774" t="str">
        <f t="shared" si="9"/>
        <v>Result</v>
      </c>
      <c r="C542" s="774" t="s">
        <v>3545</v>
      </c>
      <c r="D542" s="1010"/>
      <c r="E542" s="1010"/>
      <c r="F542" s="1010"/>
      <c r="G542" s="1010"/>
      <c r="H542" s="1010"/>
      <c r="I542" s="1010"/>
      <c r="J542" s="1010"/>
      <c r="K542" s="1010"/>
      <c r="L542" s="1010"/>
      <c r="M542" s="1010"/>
    </row>
    <row r="543" spans="1:13" ht="12.75" thickBot="1" x14ac:dyDescent="0.25">
      <c r="A543" s="693">
        <v>539</v>
      </c>
      <c r="B543" s="784" t="str">
        <f t="shared" si="9"/>
        <v>The result is the effective carbon price due per tonne of CO2 equivalent, i.e. the carbon price due less any rebates.</v>
      </c>
      <c r="C543" s="784" t="s">
        <v>3546</v>
      </c>
      <c r="D543" s="1022"/>
      <c r="E543" s="1022"/>
      <c r="F543" s="1022"/>
      <c r="G543" s="1022"/>
      <c r="H543" s="1022"/>
      <c r="I543" s="1022"/>
      <c r="J543" s="1022"/>
      <c r="K543" s="1022"/>
      <c r="L543" s="1022"/>
      <c r="M543" s="1022"/>
    </row>
    <row r="544" spans="1:13" ht="12.75" x14ac:dyDescent="0.2">
      <c r="A544" s="693">
        <v>540</v>
      </c>
      <c r="B544" s="754" t="str">
        <f t="shared" si="9"/>
        <v>Summary of production processes</v>
      </c>
      <c r="C544" s="754" t="s">
        <v>3547</v>
      </c>
      <c r="D544" s="929"/>
      <c r="E544" s="929"/>
      <c r="F544" s="929"/>
      <c r="G544" s="929"/>
      <c r="H544" s="929"/>
      <c r="I544" s="929"/>
      <c r="J544" s="929"/>
      <c r="K544" s="929"/>
      <c r="L544" s="929"/>
      <c r="M544" s="929"/>
    </row>
    <row r="545" spans="1:13" ht="15.75" x14ac:dyDescent="0.2">
      <c r="A545" s="693">
        <v>541</v>
      </c>
      <c r="B545" s="315" t="str">
        <f t="shared" si="9"/>
        <v>Summary of the installation, processes and production routes</v>
      </c>
      <c r="C545" s="315" t="s">
        <v>3548</v>
      </c>
      <c r="D545" s="939"/>
      <c r="E545" s="939"/>
      <c r="F545" s="939"/>
      <c r="G545" s="939"/>
      <c r="H545" s="939"/>
      <c r="I545" s="939"/>
      <c r="J545" s="939"/>
      <c r="K545" s="939"/>
      <c r="L545" s="939"/>
      <c r="M545" s="939"/>
    </row>
    <row r="546" spans="1:13" ht="12.75" x14ac:dyDescent="0.2">
      <c r="A546" s="693">
        <v>542</v>
      </c>
      <c r="B546" s="162" t="str">
        <f t="shared" si="9"/>
        <v>Installation &amp; processes</v>
      </c>
      <c r="C546" s="162" t="s">
        <v>3549</v>
      </c>
      <c r="D546" s="940"/>
      <c r="E546" s="940"/>
      <c r="F546" s="940"/>
      <c r="G546" s="940"/>
      <c r="H546" s="940"/>
      <c r="I546" s="940"/>
      <c r="J546" s="940"/>
      <c r="K546" s="940"/>
      <c r="L546" s="940"/>
      <c r="M546" s="940"/>
    </row>
    <row r="547" spans="1:13" ht="15" x14ac:dyDescent="0.2">
      <c r="A547" s="693">
        <v>543</v>
      </c>
      <c r="B547" s="743" t="str">
        <f t="shared" si="9"/>
        <v>Summary of the installation</v>
      </c>
      <c r="C547" s="743" t="s">
        <v>3550</v>
      </c>
      <c r="D547" s="1023"/>
      <c r="E547" s="1023"/>
      <c r="F547" s="1023"/>
      <c r="G547" s="1023"/>
      <c r="H547" s="1023"/>
      <c r="I547" s="1023"/>
      <c r="J547" s="1023"/>
      <c r="K547" s="1023"/>
      <c r="L547" s="1023"/>
      <c r="M547" s="1023"/>
    </row>
    <row r="548" spans="1:13" ht="12.75" x14ac:dyDescent="0.2">
      <c r="A548" s="693">
        <v>544</v>
      </c>
      <c r="B548" s="744" t="str">
        <f t="shared" si="9"/>
        <v>Reporting period start:</v>
      </c>
      <c r="C548" s="744" t="s">
        <v>1384</v>
      </c>
      <c r="D548" s="1024"/>
      <c r="E548" s="1024"/>
      <c r="F548" s="1024"/>
      <c r="G548" s="1024"/>
      <c r="H548" s="1024"/>
      <c r="I548" s="1024"/>
      <c r="J548" s="1024"/>
      <c r="K548" s="1024"/>
      <c r="L548" s="1024"/>
      <c r="M548" s="1024"/>
    </row>
    <row r="549" spans="1:13" ht="12.75" x14ac:dyDescent="0.2">
      <c r="A549" s="693">
        <v>545</v>
      </c>
      <c r="B549" s="744" t="str">
        <f t="shared" si="9"/>
        <v>Reporting period end:</v>
      </c>
      <c r="C549" s="744" t="s">
        <v>1386</v>
      </c>
      <c r="D549" s="1024"/>
      <c r="E549" s="1024"/>
      <c r="F549" s="1024"/>
      <c r="G549" s="1024"/>
      <c r="H549" s="1024"/>
      <c r="I549" s="1024"/>
      <c r="J549" s="1024"/>
      <c r="K549" s="1024"/>
      <c r="L549" s="1024"/>
      <c r="M549" s="1024"/>
    </row>
    <row r="550" spans="1:13" ht="15" x14ac:dyDescent="0.2">
      <c r="A550" s="693">
        <v>546</v>
      </c>
      <c r="B550" s="743" t="str">
        <f t="shared" si="9"/>
        <v>Summary of the production processes, included precursors and production routes, where relevant</v>
      </c>
      <c r="C550" s="743" t="s">
        <v>3551</v>
      </c>
      <c r="D550" s="1023"/>
      <c r="E550" s="1023"/>
      <c r="F550" s="1023"/>
      <c r="G550" s="1023"/>
      <c r="H550" s="1023"/>
      <c r="I550" s="1023"/>
      <c r="J550" s="1023"/>
      <c r="K550" s="1023"/>
      <c r="L550" s="1023"/>
      <c r="M550" s="1023"/>
    </row>
    <row r="551" spans="1:13" ht="12.75" x14ac:dyDescent="0.2">
      <c r="A551" s="693">
        <v>547</v>
      </c>
      <c r="B551" s="891" t="str">
        <f t="shared" si="9"/>
        <v>Aggregated good produced</v>
      </c>
      <c r="C551" s="891" t="s">
        <v>1361</v>
      </c>
      <c r="D551" s="1025"/>
      <c r="E551" s="1025"/>
      <c r="F551" s="1025"/>
      <c r="G551" s="1025"/>
      <c r="H551" s="1025"/>
      <c r="I551" s="1025"/>
      <c r="J551" s="1025"/>
      <c r="K551" s="1025"/>
      <c r="L551" s="1025"/>
      <c r="M551" s="1025"/>
    </row>
    <row r="552" spans="1:13" ht="12.75" x14ac:dyDescent="0.2">
      <c r="A552" s="693">
        <v>548</v>
      </c>
      <c r="B552" s="750" t="str">
        <f t="shared" si="9"/>
        <v>Routes</v>
      </c>
      <c r="C552" s="750" t="s">
        <v>3552</v>
      </c>
      <c r="D552" s="985"/>
      <c r="E552" s="985"/>
      <c r="F552" s="985"/>
      <c r="G552" s="985"/>
      <c r="H552" s="985"/>
      <c r="I552" s="985"/>
      <c r="J552" s="985"/>
      <c r="K552" s="985"/>
      <c r="L552" s="985"/>
      <c r="M552" s="985"/>
    </row>
    <row r="553" spans="1:13" ht="12.75" x14ac:dyDescent="0.2">
      <c r="A553" s="693">
        <v>549</v>
      </c>
      <c r="B553" s="891" t="str">
        <f t="shared" si="9"/>
        <v>Purchased precursor</v>
      </c>
      <c r="C553" s="891" t="s">
        <v>3553</v>
      </c>
      <c r="D553" s="1025"/>
      <c r="E553" s="1025"/>
      <c r="F553" s="1025"/>
      <c r="G553" s="1025"/>
      <c r="H553" s="1025"/>
      <c r="I553" s="1025"/>
      <c r="J553" s="1025"/>
      <c r="K553" s="1025"/>
      <c r="L553" s="1025"/>
      <c r="M553" s="1025"/>
    </row>
    <row r="554" spans="1:13" ht="15.75" x14ac:dyDescent="0.2">
      <c r="A554" s="693">
        <v>550</v>
      </c>
      <c r="B554" s="315" t="str">
        <f t="shared" si="9"/>
        <v>Greenhouse gas emissions balance and specific embedded emissions (SEE)</v>
      </c>
      <c r="C554" s="315" t="s">
        <v>3554</v>
      </c>
      <c r="D554" s="939"/>
      <c r="E554" s="939"/>
      <c r="F554" s="939"/>
      <c r="G554" s="939"/>
      <c r="H554" s="939"/>
      <c r="I554" s="939"/>
      <c r="J554" s="939"/>
      <c r="K554" s="939"/>
      <c r="L554" s="939"/>
      <c r="M554" s="939"/>
    </row>
    <row r="555" spans="1:13" ht="12.75" x14ac:dyDescent="0.2">
      <c r="A555" s="693">
        <v>551</v>
      </c>
      <c r="B555" s="162" t="str">
        <f t="shared" si="9"/>
        <v>GHG &amp; SEE</v>
      </c>
      <c r="C555" s="162" t="s">
        <v>3555</v>
      </c>
      <c r="D555" s="940"/>
      <c r="E555" s="940"/>
      <c r="F555" s="940"/>
      <c r="G555" s="940"/>
      <c r="H555" s="940"/>
      <c r="I555" s="940"/>
      <c r="J555" s="940"/>
      <c r="K555" s="940"/>
      <c r="L555" s="940"/>
      <c r="M555" s="940"/>
    </row>
    <row r="556" spans="1:13" ht="15" x14ac:dyDescent="0.2">
      <c r="A556" s="693">
        <v>552</v>
      </c>
      <c r="B556" s="743" t="str">
        <f t="shared" si="9"/>
        <v>GHG emissions balance of the installation and all production processes</v>
      </c>
      <c r="C556" s="743" t="s">
        <v>3556</v>
      </c>
      <c r="D556" s="1023"/>
      <c r="E556" s="1023"/>
      <c r="F556" s="1023"/>
      <c r="G556" s="1023"/>
      <c r="H556" s="1023"/>
      <c r="I556" s="1023"/>
      <c r="J556" s="1023"/>
      <c r="K556" s="1023"/>
      <c r="L556" s="1023"/>
      <c r="M556" s="1023"/>
    </row>
    <row r="557" spans="1:13" ht="12.75" x14ac:dyDescent="0.2">
      <c r="A557" s="693">
        <v>553</v>
      </c>
      <c r="B557" s="750" t="str">
        <f t="shared" si="9"/>
        <v>Heat emissions</v>
      </c>
      <c r="C557" s="750" t="s">
        <v>3557</v>
      </c>
      <c r="D557" s="985"/>
      <c r="E557" s="985"/>
      <c r="F557" s="985"/>
      <c r="G557" s="985"/>
      <c r="H557" s="985"/>
      <c r="I557" s="985"/>
      <c r="J557" s="985"/>
      <c r="K557" s="985"/>
      <c r="L557" s="985"/>
      <c r="M557" s="985"/>
    </row>
    <row r="558" spans="1:13" ht="12.75" x14ac:dyDescent="0.2">
      <c r="A558" s="693">
        <v>554</v>
      </c>
      <c r="B558" s="750" t="str">
        <f t="shared" si="9"/>
        <v>Waste gas emissions</v>
      </c>
      <c r="C558" s="750" t="s">
        <v>3558</v>
      </c>
      <c r="D558" s="985"/>
      <c r="E558" s="985"/>
      <c r="F558" s="985"/>
      <c r="G558" s="985"/>
      <c r="H558" s="985"/>
      <c r="I558" s="985"/>
      <c r="J558" s="985"/>
      <c r="K558" s="985"/>
      <c r="L558" s="985"/>
      <c r="M558" s="985"/>
    </row>
    <row r="559" spans="1:13" ht="12.75" x14ac:dyDescent="0.2">
      <c r="A559" s="693">
        <v>555</v>
      </c>
      <c r="B559" s="750" t="str">
        <f t="shared" si="9"/>
        <v>Indirect, if relevant</v>
      </c>
      <c r="C559" s="750" t="s">
        <v>3559</v>
      </c>
      <c r="D559" s="985"/>
      <c r="E559" s="985"/>
      <c r="F559" s="985"/>
      <c r="G559" s="985"/>
      <c r="H559" s="985"/>
      <c r="I559" s="985"/>
      <c r="J559" s="985"/>
      <c r="K559" s="985"/>
      <c r="L559" s="985"/>
      <c r="M559" s="985"/>
    </row>
    <row r="560" spans="1:13" ht="12.75" x14ac:dyDescent="0.2">
      <c r="A560" s="693">
        <v>556</v>
      </c>
      <c r="B560" s="717" t="str">
        <f t="shared" si="9"/>
        <v>Comparison:</v>
      </c>
      <c r="C560" s="717" t="s">
        <v>3560</v>
      </c>
      <c r="D560" s="963"/>
      <c r="E560" s="963"/>
      <c r="F560" s="963"/>
      <c r="G560" s="963"/>
      <c r="H560" s="963"/>
      <c r="I560" s="963"/>
      <c r="J560" s="963"/>
      <c r="K560" s="963"/>
      <c r="L560" s="963"/>
      <c r="M560" s="963"/>
    </row>
    <row r="561" spans="1:13" ht="12.75" x14ac:dyDescent="0.2">
      <c r="A561" s="693">
        <v>557</v>
      </c>
      <c r="B561" s="750" t="str">
        <f t="shared" si="9"/>
        <v>Emissions</v>
      </c>
      <c r="C561" s="750" t="s">
        <v>3561</v>
      </c>
      <c r="D561" s="985"/>
      <c r="E561" s="985"/>
      <c r="F561" s="985"/>
      <c r="G561" s="985"/>
      <c r="H561" s="985"/>
      <c r="I561" s="985"/>
      <c r="J561" s="985"/>
      <c r="K561" s="985"/>
      <c r="L561" s="985"/>
      <c r="M561" s="985"/>
    </row>
    <row r="562" spans="1:13" ht="12.75" x14ac:dyDescent="0.2">
      <c r="A562" s="693">
        <v>558</v>
      </c>
      <c r="B562" s="739" t="str">
        <f t="shared" si="9"/>
        <v>Total emissions of the installation (from sheet "C_Emissions&amp;Energy")</v>
      </c>
      <c r="C562" s="739" t="s">
        <v>3562</v>
      </c>
      <c r="D562" s="1003"/>
      <c r="E562" s="1003"/>
      <c r="F562" s="1003"/>
      <c r="G562" s="1003"/>
      <c r="H562" s="1003"/>
      <c r="I562" s="1003"/>
      <c r="J562" s="1003"/>
      <c r="K562" s="1003"/>
      <c r="L562" s="1003"/>
      <c r="M562" s="1003"/>
    </row>
    <row r="563" spans="1:13" ht="12.75" x14ac:dyDescent="0.2">
      <c r="A563" s="693">
        <v>559</v>
      </c>
      <c r="B563" s="681" t="str">
        <f t="shared" si="9"/>
        <v>Rest (= emissions not attributed to CBAM processes)</v>
      </c>
      <c r="C563" s="681" t="s">
        <v>3563</v>
      </c>
      <c r="D563" s="986"/>
      <c r="E563" s="986"/>
      <c r="F563" s="986"/>
      <c r="G563" s="986"/>
      <c r="H563" s="986"/>
      <c r="I563" s="986"/>
      <c r="J563" s="986"/>
      <c r="K563" s="986"/>
      <c r="L563" s="986"/>
      <c r="M563" s="986"/>
    </row>
    <row r="564" spans="1:13" ht="12.75" x14ac:dyDescent="0.2">
      <c r="A564" s="693">
        <v>560</v>
      </c>
      <c r="B564" s="684" t="str">
        <f t="shared" si="9"/>
        <v>Rest (expressed as % of total)</v>
      </c>
      <c r="C564" s="684" t="s">
        <v>3564</v>
      </c>
      <c r="D564" s="987"/>
      <c r="E564" s="987"/>
      <c r="F564" s="987"/>
      <c r="G564" s="987"/>
      <c r="H564" s="987"/>
      <c r="I564" s="987"/>
      <c r="J564" s="987"/>
      <c r="K564" s="987"/>
      <c r="L564" s="987"/>
      <c r="M564" s="987"/>
    </row>
    <row r="565" spans="1:13" x14ac:dyDescent="0.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3565</v>
      </c>
      <c r="D565" s="1026"/>
      <c r="E565" s="1026"/>
      <c r="F565" s="1026"/>
      <c r="G565" s="1026"/>
      <c r="H565" s="1026"/>
      <c r="I565" s="1026"/>
      <c r="J565" s="1026"/>
      <c r="K565" s="1026"/>
      <c r="L565" s="1026"/>
      <c r="M565" s="1026"/>
    </row>
    <row r="566" spans="1:13" ht="15" x14ac:dyDescent="0.2">
      <c r="A566" s="693">
        <v>562</v>
      </c>
      <c r="B566" s="743" t="str">
        <f t="shared" si="9"/>
        <v>Specific direct and indirect (embedded) emissions</v>
      </c>
      <c r="C566" s="743" t="s">
        <v>3566</v>
      </c>
      <c r="D566" s="1023"/>
      <c r="E566" s="1023"/>
      <c r="F566" s="1023"/>
      <c r="G566" s="1023"/>
      <c r="H566" s="1023"/>
      <c r="I566" s="1023"/>
      <c r="J566" s="1023"/>
      <c r="K566" s="1023"/>
      <c r="L566" s="1023"/>
      <c r="M566" s="1023"/>
    </row>
    <row r="567" spans="1:13" x14ac:dyDescent="0.2">
      <c r="A567" s="693">
        <v>563</v>
      </c>
      <c r="B567" s="893" t="str">
        <f t="shared" si="9"/>
        <v>The following abbreviations are used in the tables below:</v>
      </c>
      <c r="C567" s="893" t="s">
        <v>3567</v>
      </c>
      <c r="D567" s="984"/>
      <c r="E567" s="984"/>
      <c r="F567" s="984"/>
      <c r="G567" s="984"/>
      <c r="H567" s="984"/>
      <c r="I567" s="984"/>
      <c r="J567" s="984"/>
      <c r="K567" s="984"/>
      <c r="L567" s="984"/>
      <c r="M567" s="984"/>
    </row>
    <row r="568" spans="1:13" x14ac:dyDescent="0.2">
      <c r="A568" s="693">
        <v>564</v>
      </c>
      <c r="B568" s="772" t="str">
        <f t="shared" si="9"/>
        <v>SE (direct)</v>
      </c>
      <c r="C568" s="772" t="s">
        <v>3568</v>
      </c>
      <c r="D568" s="1008"/>
      <c r="E568" s="1008"/>
      <c r="F568" s="1008"/>
      <c r="G568" s="1008"/>
      <c r="H568" s="1008"/>
      <c r="I568" s="1008"/>
      <c r="J568" s="1008"/>
      <c r="K568" s="1008"/>
      <c r="L568" s="1008"/>
      <c r="M568" s="1008"/>
    </row>
    <row r="569" spans="1:13" x14ac:dyDescent="0.2">
      <c r="A569" s="693">
        <v>565</v>
      </c>
      <c r="B569" s="772" t="str">
        <f t="shared" si="9"/>
        <v>Specific direct emissions of the production process, i.e. excluding any embedded emissions from any precursors consumed in the process.</v>
      </c>
      <c r="C569" s="772" t="s">
        <v>3569</v>
      </c>
      <c r="D569" s="1008"/>
      <c r="E569" s="1008"/>
      <c r="F569" s="1008"/>
      <c r="G569" s="1008"/>
      <c r="H569" s="1008"/>
      <c r="I569" s="1008"/>
      <c r="J569" s="1008"/>
      <c r="K569" s="1008"/>
      <c r="L569" s="1008"/>
      <c r="M569" s="1008"/>
    </row>
    <row r="570" spans="1:13" x14ac:dyDescent="0.2">
      <c r="A570" s="693">
        <v>566</v>
      </c>
      <c r="B570" s="773" t="str">
        <f t="shared" si="9"/>
        <v>SEE (direct)</v>
      </c>
      <c r="C570" s="773" t="s">
        <v>1394</v>
      </c>
      <c r="D570" s="1009"/>
      <c r="E570" s="1009"/>
      <c r="F570" s="1009"/>
      <c r="G570" s="1009"/>
      <c r="H570" s="1009"/>
      <c r="I570" s="1009"/>
      <c r="J570" s="1009"/>
      <c r="K570" s="1009"/>
      <c r="L570" s="1009"/>
      <c r="M570" s="1009"/>
    </row>
    <row r="571" spans="1:13" x14ac:dyDescent="0.2">
      <c r="A571" s="693">
        <v>567</v>
      </c>
      <c r="B571" s="773" t="str">
        <f t="shared" si="9"/>
        <v>Specific embedded direct emissions of the production process, i.e. including any embedded emissions from any precursors consumed in the process.</v>
      </c>
      <c r="C571" s="773" t="s">
        <v>3570</v>
      </c>
      <c r="D571" s="1009"/>
      <c r="E571" s="1009"/>
      <c r="F571" s="1009"/>
      <c r="G571" s="1009"/>
      <c r="H571" s="1009"/>
      <c r="I571" s="1009"/>
      <c r="J571" s="1009"/>
      <c r="K571" s="1009"/>
      <c r="L571" s="1009"/>
      <c r="M571" s="1009"/>
    </row>
    <row r="572" spans="1:13" x14ac:dyDescent="0.2">
      <c r="A572" s="693">
        <v>568</v>
      </c>
      <c r="B572" s="773" t="str">
        <f t="shared" si="9"/>
        <v>SE (indirect)</v>
      </c>
      <c r="C572" s="773" t="s">
        <v>3571</v>
      </c>
      <c r="D572" s="1009"/>
      <c r="E572" s="1009"/>
      <c r="F572" s="1009"/>
      <c r="G572" s="1009"/>
      <c r="H572" s="1009"/>
      <c r="I572" s="1009"/>
      <c r="J572" s="1009"/>
      <c r="K572" s="1009"/>
      <c r="L572" s="1009"/>
      <c r="M572" s="1009"/>
    </row>
    <row r="573" spans="1:13" x14ac:dyDescent="0.2">
      <c r="A573" s="693">
        <v>569</v>
      </c>
      <c r="B573" s="773" t="str">
        <f t="shared" si="9"/>
        <v>Specific indirect emissions of the production process, i.e. excluding any embedded indirect emissions from any precursors consumed in the process.</v>
      </c>
      <c r="C573" s="773" t="s">
        <v>3572</v>
      </c>
      <c r="D573" s="1009"/>
      <c r="E573" s="1009"/>
      <c r="F573" s="1009"/>
      <c r="G573" s="1009"/>
      <c r="H573" s="1009"/>
      <c r="I573" s="1009"/>
      <c r="J573" s="1009"/>
      <c r="K573" s="1009"/>
      <c r="L573" s="1009"/>
      <c r="M573" s="1009"/>
    </row>
    <row r="574" spans="1:13" x14ac:dyDescent="0.2">
      <c r="A574" s="693">
        <v>570</v>
      </c>
      <c r="B574" s="773" t="str">
        <f t="shared" si="9"/>
        <v>SEE (indirect)</v>
      </c>
      <c r="C574" s="773" t="s">
        <v>1395</v>
      </c>
      <c r="D574" s="1009"/>
      <c r="E574" s="1009"/>
      <c r="F574" s="1009"/>
      <c r="G574" s="1009"/>
      <c r="H574" s="1009"/>
      <c r="I574" s="1009"/>
      <c r="J574" s="1009"/>
      <c r="K574" s="1009"/>
      <c r="L574" s="1009"/>
      <c r="M574" s="1009"/>
    </row>
    <row r="575" spans="1:13" x14ac:dyDescent="0.2">
      <c r="A575" s="693">
        <v>571</v>
      </c>
      <c r="B575" s="773" t="str">
        <f t="shared" si="9"/>
        <v>Specific embedded indirect emissions of the production process, i.e. including any embedded indirect emissions from any precursors consumed in the process.</v>
      </c>
      <c r="C575" s="773" t="s">
        <v>3573</v>
      </c>
      <c r="D575" s="1009"/>
      <c r="E575" s="1009"/>
      <c r="F575" s="1009"/>
      <c r="G575" s="1009"/>
      <c r="H575" s="1009"/>
      <c r="I575" s="1009"/>
      <c r="J575" s="1009"/>
      <c r="K575" s="1009"/>
      <c r="L575" s="1009"/>
      <c r="M575" s="1009"/>
    </row>
    <row r="576" spans="1:13" x14ac:dyDescent="0.2">
      <c r="A576" s="693">
        <v>572</v>
      </c>
      <c r="B576" s="773" t="str">
        <f t="shared" si="9"/>
        <v>Electricity consumed</v>
      </c>
      <c r="C576" s="773" t="s">
        <v>3574</v>
      </c>
      <c r="D576" s="1009"/>
      <c r="E576" s="1009"/>
      <c r="F576" s="1009"/>
      <c r="G576" s="1009"/>
      <c r="H576" s="1009"/>
      <c r="I576" s="1009"/>
      <c r="J576" s="1009"/>
      <c r="K576" s="1009"/>
      <c r="L576" s="1009"/>
      <c r="M576" s="1009"/>
    </row>
    <row r="577" spans="1:13" x14ac:dyDescent="0.2">
      <c r="A577" s="693">
        <v>573</v>
      </c>
      <c r="B577" s="773" t="str">
        <f t="shared" si="9"/>
        <v>Specific electricity consumption within the production process.</v>
      </c>
      <c r="C577" s="773" t="s">
        <v>3575</v>
      </c>
      <c r="D577" s="1009"/>
      <c r="E577" s="1009"/>
      <c r="F577" s="1009"/>
      <c r="G577" s="1009"/>
      <c r="H577" s="1009"/>
      <c r="I577" s="1009"/>
      <c r="J577" s="1009"/>
      <c r="K577" s="1009"/>
      <c r="L577" s="1009"/>
      <c r="M577" s="1009"/>
    </row>
    <row r="578" spans="1:13" ht="12.75" x14ac:dyDescent="0.2">
      <c r="A578" s="693">
        <v>574</v>
      </c>
      <c r="B578" s="786" t="str">
        <f t="shared" si="9"/>
        <v>Type of precursor</v>
      </c>
      <c r="C578" s="786" t="s">
        <v>3576</v>
      </c>
      <c r="D578" s="1027"/>
      <c r="E578" s="1027"/>
      <c r="F578" s="1027"/>
      <c r="G578" s="1027"/>
      <c r="H578" s="1027"/>
      <c r="I578" s="1027"/>
      <c r="J578" s="1027"/>
      <c r="K578" s="1027"/>
      <c r="L578" s="1027"/>
      <c r="M578" s="1027"/>
    </row>
    <row r="579" spans="1:13" ht="15.75" x14ac:dyDescent="0.2">
      <c r="A579" s="693">
        <v>575</v>
      </c>
      <c r="B579" s="315" t="str">
        <f t="shared" si="9"/>
        <v>Detailed overview of each production processes</v>
      </c>
      <c r="C579" s="315" t="s">
        <v>3577</v>
      </c>
      <c r="D579" s="939"/>
      <c r="E579" s="939"/>
      <c r="F579" s="939"/>
      <c r="G579" s="939"/>
      <c r="H579" s="939"/>
      <c r="I579" s="939"/>
      <c r="J579" s="939"/>
      <c r="K579" s="939"/>
      <c r="L579" s="939"/>
      <c r="M579" s="939"/>
    </row>
    <row r="580" spans="1:13" ht="12.75" x14ac:dyDescent="0.2">
      <c r="A580" s="693">
        <v>576</v>
      </c>
      <c r="B580" s="162" t="str">
        <f t="shared" si="9"/>
        <v>Detailed overview</v>
      </c>
      <c r="C580" s="162" t="s">
        <v>3578</v>
      </c>
      <c r="D580" s="940"/>
      <c r="E580" s="940"/>
      <c r="F580" s="940"/>
      <c r="G580" s="940"/>
      <c r="H580" s="940"/>
      <c r="I580" s="940"/>
      <c r="J580" s="940"/>
      <c r="K580" s="940"/>
      <c r="L580" s="940"/>
      <c r="M580" s="940"/>
    </row>
    <row r="581" spans="1:13" x14ac:dyDescent="0.2">
      <c r="A581" s="693">
        <v>577</v>
      </c>
      <c r="B581" s="778" t="str">
        <f t="shared" si="9"/>
        <v>General aspects</v>
      </c>
      <c r="C581" s="778" t="s">
        <v>3579</v>
      </c>
      <c r="D581" s="1016"/>
      <c r="E581" s="1016"/>
      <c r="F581" s="1016"/>
      <c r="G581" s="1016"/>
      <c r="H581" s="1016"/>
      <c r="I581" s="1016"/>
      <c r="J581" s="1016"/>
      <c r="K581" s="1016"/>
      <c r="L581" s="1016"/>
      <c r="M581" s="1016"/>
    </row>
    <row r="582" spans="1:13" x14ac:dyDescent="0.2">
      <c r="A582" s="693">
        <v>578</v>
      </c>
      <c r="B582" s="772" t="str">
        <f t="shared" si="9"/>
        <v xml:space="preserve">The term 'specific' of all elements below is to be understood as being expressed per unit of good (usually tonnes) of the production process in consideration. </v>
      </c>
      <c r="C582" s="772" t="s">
        <v>3580</v>
      </c>
      <c r="D582" s="1008"/>
      <c r="E582" s="1008"/>
      <c r="F582" s="1008"/>
      <c r="G582" s="1008"/>
      <c r="H582" s="1008"/>
      <c r="I582" s="1008"/>
      <c r="J582" s="1008"/>
      <c r="K582" s="1008"/>
      <c r="L582" s="1008"/>
      <c r="M582" s="1008"/>
    </row>
    <row r="583" spans="1:13" x14ac:dyDescent="0.2">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3581</v>
      </c>
      <c r="D583" s="1009"/>
      <c r="E583" s="1009"/>
      <c r="F583" s="1009"/>
      <c r="G583" s="1009"/>
      <c r="H583" s="1009"/>
      <c r="I583" s="1009"/>
      <c r="J583" s="1009"/>
      <c r="K583" s="1009"/>
      <c r="L583" s="1009"/>
      <c r="M583" s="1009"/>
    </row>
    <row r="584" spans="1:13" x14ac:dyDescent="0.2">
      <c r="A584" s="693">
        <v>580</v>
      </c>
      <c r="B584" s="773" t="str">
        <f t="shared" si="9"/>
        <v>Mass share</v>
      </c>
      <c r="C584" s="773" t="s">
        <v>3582</v>
      </c>
      <c r="D584" s="1009"/>
      <c r="E584" s="1009"/>
      <c r="F584" s="1009"/>
      <c r="G584" s="1009"/>
      <c r="H584" s="1009"/>
      <c r="I584" s="1009"/>
      <c r="J584" s="1009"/>
      <c r="K584" s="1009"/>
      <c r="L584" s="1009"/>
      <c r="M584" s="1009"/>
    </row>
    <row r="585" spans="1:13" x14ac:dyDescent="0.2">
      <c r="A585" s="693">
        <v>581</v>
      </c>
      <c r="B585" s="773" t="str">
        <f t="shared" si="9"/>
        <v>This is the specific consumption of each precursor per unit of products produced by the relevant 'production process'.</v>
      </c>
      <c r="C585" s="773" t="s">
        <v>3583</v>
      </c>
      <c r="D585" s="1009"/>
      <c r="E585" s="1009"/>
      <c r="F585" s="1009"/>
      <c r="G585" s="1009"/>
      <c r="H585" s="1009"/>
      <c r="I585" s="1009"/>
      <c r="J585" s="1009"/>
      <c r="K585" s="1009"/>
      <c r="L585" s="1009"/>
      <c r="M585" s="1009"/>
    </row>
    <row r="586" spans="1:13" x14ac:dyDescent="0.2">
      <c r="A586" s="693">
        <v>582</v>
      </c>
      <c r="B586" s="773" t="str">
        <f t="shared" si="9"/>
        <v>(Share of) Default value</v>
      </c>
      <c r="C586" s="773" t="s">
        <v>3584</v>
      </c>
      <c r="D586" s="1009"/>
      <c r="E586" s="1009"/>
      <c r="F586" s="1009"/>
      <c r="G586" s="1009"/>
      <c r="H586" s="1009"/>
      <c r="I586" s="1009"/>
      <c r="J586" s="1009"/>
      <c r="K586" s="1009"/>
      <c r="L586" s="1009"/>
      <c r="M586" s="1009"/>
    </row>
    <row r="587" spans="1:13" x14ac:dyDescent="0.2">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3585</v>
      </c>
      <c r="D587" s="1009"/>
      <c r="E587" s="1009"/>
      <c r="F587" s="1009"/>
      <c r="G587" s="1009"/>
      <c r="H587" s="1009"/>
      <c r="I587" s="1009"/>
      <c r="J587" s="1009"/>
      <c r="K587" s="1009"/>
      <c r="L587" s="1009"/>
      <c r="M587" s="1009"/>
    </row>
    <row r="588" spans="1:13" x14ac:dyDescent="0.2">
      <c r="A588" s="693">
        <v>584</v>
      </c>
      <c r="B588" s="773" t="str">
        <f t="shared" si="10"/>
        <v>Total (direct + indirect) specific embedded emissions of the production process, i.e. including any embedded indirect emissions from any precursors consumed in the process.</v>
      </c>
      <c r="C588" s="773" t="s">
        <v>3586</v>
      </c>
      <c r="D588" s="1009"/>
      <c r="E588" s="1009"/>
      <c r="F588" s="1009"/>
      <c r="G588" s="1009"/>
      <c r="H588" s="1009"/>
      <c r="I588" s="1009"/>
      <c r="J588" s="1009"/>
      <c r="K588" s="1009"/>
      <c r="L588" s="1009"/>
      <c r="M588" s="1009"/>
    </row>
    <row r="589" spans="1:13" x14ac:dyDescent="0.2">
      <c r="A589" s="693">
        <v>585</v>
      </c>
      <c r="B589" s="773" t="str">
        <f t="shared" si="10"/>
        <v>EmbEm (direct)</v>
      </c>
      <c r="C589" s="773" t="s">
        <v>3587</v>
      </c>
      <c r="D589" s="1009"/>
      <c r="E589" s="1009"/>
      <c r="F589" s="1009"/>
      <c r="G589" s="1009"/>
      <c r="H589" s="1009"/>
      <c r="I589" s="1009"/>
      <c r="J589" s="1009"/>
      <c r="K589" s="1009"/>
      <c r="L589" s="1009"/>
      <c r="M589" s="1009"/>
    </row>
    <row r="590" spans="1:13" x14ac:dyDescent="0.2">
      <c r="A590" s="693">
        <v>586</v>
      </c>
      <c r="B590" s="773" t="str">
        <f t="shared" si="10"/>
        <v>Embedded direct emissions of the production process, i.e. including any embedded emissions from any precursors consumed in the process.</v>
      </c>
      <c r="C590" s="773" t="s">
        <v>3588</v>
      </c>
      <c r="D590" s="1009"/>
      <c r="E590" s="1009"/>
      <c r="F590" s="1009"/>
      <c r="G590" s="1009"/>
      <c r="H590" s="1009"/>
      <c r="I590" s="1009"/>
      <c r="J590" s="1009"/>
      <c r="K590" s="1009"/>
      <c r="L590" s="1009"/>
      <c r="M590" s="1009"/>
    </row>
    <row r="591" spans="1:13" x14ac:dyDescent="0.2">
      <c r="A591" s="693">
        <v>587</v>
      </c>
      <c r="B591" s="773" t="str">
        <f t="shared" si="10"/>
        <v>EmbEm (indirect)</v>
      </c>
      <c r="C591" s="773" t="s">
        <v>3589</v>
      </c>
      <c r="D591" s="1009"/>
      <c r="E591" s="1009"/>
      <c r="F591" s="1009"/>
      <c r="G591" s="1009"/>
      <c r="H591" s="1009"/>
      <c r="I591" s="1009"/>
      <c r="J591" s="1009"/>
      <c r="K591" s="1009"/>
      <c r="L591" s="1009"/>
      <c r="M591" s="1009"/>
    </row>
    <row r="592" spans="1:13" x14ac:dyDescent="0.2">
      <c r="A592" s="693">
        <v>588</v>
      </c>
      <c r="B592" s="773" t="str">
        <f t="shared" si="10"/>
        <v>Embedded indirect emissions of the production process, i.e. including any embedded indirect emissions from any precursors consumed in the process.</v>
      </c>
      <c r="C592" s="773" t="s">
        <v>3590</v>
      </c>
      <c r="D592" s="1009"/>
      <c r="E592" s="1009"/>
      <c r="F592" s="1009"/>
      <c r="G592" s="1009"/>
      <c r="H592" s="1009"/>
      <c r="I592" s="1009"/>
      <c r="J592" s="1009"/>
      <c r="K592" s="1009"/>
      <c r="L592" s="1009"/>
      <c r="M592" s="1009"/>
    </row>
    <row r="593" spans="1:13" x14ac:dyDescent="0.2">
      <c r="A593" s="693">
        <v>589</v>
      </c>
      <c r="B593" s="773" t="str">
        <f t="shared" si="10"/>
        <v>EmbEm (total)</v>
      </c>
      <c r="C593" s="773" t="s">
        <v>3591</v>
      </c>
      <c r="D593" s="1009"/>
      <c r="E593" s="1009"/>
      <c r="F593" s="1009"/>
      <c r="G593" s="1009"/>
      <c r="H593" s="1009"/>
      <c r="I593" s="1009"/>
      <c r="J593" s="1009"/>
      <c r="K593" s="1009"/>
      <c r="L593" s="1009"/>
      <c r="M593" s="1009"/>
    </row>
    <row r="594" spans="1:13" x14ac:dyDescent="0.2">
      <c r="A594" s="693">
        <v>590</v>
      </c>
      <c r="B594" s="773" t="str">
        <f t="shared" si="10"/>
        <v>Source of electricity EF</v>
      </c>
      <c r="C594" s="773" t="s">
        <v>3592</v>
      </c>
      <c r="D594" s="1009"/>
      <c r="E594" s="1009"/>
      <c r="F594" s="1009"/>
      <c r="G594" s="1009"/>
      <c r="H594" s="1009"/>
      <c r="I594" s="1009"/>
      <c r="J594" s="1009"/>
      <c r="K594" s="1009"/>
      <c r="L594" s="1009"/>
      <c r="M594" s="1009"/>
    </row>
    <row r="595" spans="1:13" x14ac:dyDescent="0.2">
      <c r="A595" s="693">
        <v>591</v>
      </c>
      <c r="B595" s="773" t="str">
        <f t="shared" si="10"/>
        <v>The source or method based on which the electricity emission factor (EF) was determined for the relevant production process or precursor.</v>
      </c>
      <c r="C595" s="773" t="s">
        <v>3593</v>
      </c>
      <c r="D595" s="1009"/>
      <c r="E595" s="1009"/>
      <c r="F595" s="1009"/>
      <c r="G595" s="1009"/>
      <c r="H595" s="1009"/>
      <c r="I595" s="1009"/>
      <c r="J595" s="1009"/>
      <c r="K595" s="1009"/>
      <c r="L595" s="1009"/>
      <c r="M595" s="1009"/>
    </row>
    <row r="596" spans="1:13" x14ac:dyDescent="0.2">
      <c r="A596" s="693">
        <v>592</v>
      </c>
      <c r="B596" s="773" t="str">
        <f t="shared" si="10"/>
        <v>Where the electricity is not predominantly obtained from one source or the EF by one of the above sources, the EF is determined as a mix of the methods above.</v>
      </c>
      <c r="C596" s="773" t="s">
        <v>3594</v>
      </c>
      <c r="D596" s="1009"/>
      <c r="E596" s="1009"/>
      <c r="F596" s="1009"/>
      <c r="G596" s="1009"/>
      <c r="H596" s="1009"/>
      <c r="I596" s="1009"/>
      <c r="J596" s="1009"/>
      <c r="K596" s="1009"/>
      <c r="L596" s="1009"/>
      <c r="M596" s="1009"/>
    </row>
    <row r="597" spans="1:13" x14ac:dyDescent="0.2">
      <c r="A597" s="693">
        <v>593</v>
      </c>
      <c r="B597" s="773" t="str">
        <f t="shared" si="10"/>
        <v>Specific electricity</v>
      </c>
      <c r="C597" s="773" t="s">
        <v>3595</v>
      </c>
      <c r="D597" s="1009"/>
      <c r="E597" s="1009"/>
      <c r="F597" s="1009"/>
      <c r="G597" s="1009"/>
      <c r="H597" s="1009"/>
      <c r="I597" s="1009"/>
      <c r="J597" s="1009"/>
      <c r="K597" s="1009"/>
      <c r="L597" s="1009"/>
      <c r="M597" s="1009"/>
    </row>
    <row r="598" spans="1:13" x14ac:dyDescent="0.2">
      <c r="A598" s="693">
        <v>594</v>
      </c>
      <c r="B598" s="773" t="str">
        <f t="shared" si="10"/>
        <v>Specific electricity consumption within the production process, excluding any electricity embedded in purchased precursors.</v>
      </c>
      <c r="C598" s="773" t="s">
        <v>3596</v>
      </c>
      <c r="D598" s="1009"/>
      <c r="E598" s="1009"/>
      <c r="F598" s="1009"/>
      <c r="G598" s="1009"/>
      <c r="H598" s="1009"/>
      <c r="I598" s="1009"/>
      <c r="J598" s="1009"/>
      <c r="K598" s="1009"/>
      <c r="L598" s="1009"/>
      <c r="M598" s="1009"/>
    </row>
    <row r="599" spans="1:13" ht="12.75" thickBot="1" x14ac:dyDescent="0.25">
      <c r="A599" s="693">
        <v>595</v>
      </c>
      <c r="B599" s="787" t="str">
        <f t="shared" si="10"/>
        <v>This is the country in which the relevant precursor is produced, where imported from outside the own installation.</v>
      </c>
      <c r="C599" s="787" t="s">
        <v>3597</v>
      </c>
      <c r="D599" s="1028"/>
      <c r="E599" s="1028"/>
      <c r="F599" s="1028"/>
      <c r="G599" s="1028"/>
      <c r="H599" s="1028"/>
      <c r="I599" s="1028"/>
      <c r="J599" s="1028"/>
      <c r="K599" s="1028"/>
      <c r="L599" s="1028"/>
      <c r="M599" s="1028"/>
    </row>
    <row r="600" spans="1:13" ht="13.5" thickBot="1" x14ac:dyDescent="0.25">
      <c r="A600" s="693">
        <v>596</v>
      </c>
      <c r="B600" s="788" t="str">
        <f t="shared" si="10"/>
        <v>Total production process</v>
      </c>
      <c r="C600" s="788" t="s">
        <v>3598</v>
      </c>
      <c r="D600" s="1029"/>
      <c r="E600" s="1029"/>
      <c r="F600" s="1029"/>
      <c r="G600" s="1029"/>
      <c r="H600" s="1029"/>
      <c r="I600" s="1029"/>
      <c r="J600" s="1029"/>
      <c r="K600" s="1029"/>
      <c r="L600" s="1029"/>
      <c r="M600" s="1029"/>
    </row>
    <row r="601" spans="1:13" ht="12.75" x14ac:dyDescent="0.2">
      <c r="A601" s="693">
        <v>597</v>
      </c>
      <c r="B601" s="173" t="str">
        <f t="shared" si="10"/>
        <v>Production and consumption</v>
      </c>
      <c r="C601" s="173" t="s">
        <v>3599</v>
      </c>
      <c r="D601" s="980"/>
      <c r="E601" s="980"/>
      <c r="F601" s="980"/>
      <c r="G601" s="980"/>
      <c r="H601" s="980"/>
      <c r="I601" s="980"/>
      <c r="J601" s="980"/>
      <c r="K601" s="980"/>
      <c r="L601" s="980"/>
      <c r="M601" s="980"/>
    </row>
    <row r="602" spans="1:13" ht="12.75" x14ac:dyDescent="0.2">
      <c r="A602" s="693">
        <v>598</v>
      </c>
      <c r="B602" s="173" t="str">
        <f t="shared" si="10"/>
        <v>Total production of precursors</v>
      </c>
      <c r="C602" s="173" t="s">
        <v>3600</v>
      </c>
      <c r="D602" s="980"/>
      <c r="E602" s="980"/>
      <c r="F602" s="980"/>
      <c r="G602" s="980"/>
      <c r="H602" s="980"/>
      <c r="I602" s="980"/>
      <c r="J602" s="980"/>
      <c r="K602" s="980"/>
      <c r="L602" s="980"/>
      <c r="M602" s="980"/>
    </row>
    <row r="603" spans="1:13" x14ac:dyDescent="0.2">
      <c r="A603" s="693">
        <v>599</v>
      </c>
      <c r="B603" s="789" t="str">
        <f t="shared" si="10"/>
        <v>Type of aggregated good or precursor</v>
      </c>
      <c r="C603" s="789" t="s">
        <v>1390</v>
      </c>
      <c r="D603" s="1030"/>
      <c r="E603" s="1030"/>
      <c r="F603" s="1030"/>
      <c r="G603" s="1030"/>
      <c r="H603" s="1030"/>
      <c r="I603" s="1030"/>
      <c r="J603" s="1030"/>
      <c r="K603" s="1030"/>
      <c r="L603" s="1030"/>
      <c r="M603" s="1030"/>
    </row>
    <row r="604" spans="1:13" x14ac:dyDescent="0.2">
      <c r="A604" s="693">
        <v>600</v>
      </c>
      <c r="B604" s="790" t="str">
        <f t="shared" si="10"/>
        <v>CN Name</v>
      </c>
      <c r="C604" s="790" t="s">
        <v>1392</v>
      </c>
      <c r="D604" s="1031"/>
      <c r="E604" s="1031"/>
      <c r="F604" s="1031"/>
      <c r="G604" s="1031"/>
      <c r="H604" s="1031"/>
      <c r="I604" s="1031"/>
      <c r="J604" s="1031"/>
      <c r="K604" s="1031"/>
      <c r="L604" s="1031"/>
      <c r="M604" s="1031"/>
    </row>
    <row r="605" spans="1:13" x14ac:dyDescent="0.2">
      <c r="A605" s="693">
        <v>601</v>
      </c>
      <c r="B605" s="790" t="str">
        <f t="shared" si="10"/>
        <v>Product name 
(used for communication with reporting declarant, e.g. on invoices)</v>
      </c>
      <c r="C605" s="790" t="s">
        <v>1393</v>
      </c>
      <c r="D605" s="1031"/>
      <c r="E605" s="1031"/>
      <c r="F605" s="1031"/>
      <c r="G605" s="1031"/>
      <c r="H605" s="1031"/>
      <c r="I605" s="1031"/>
      <c r="J605" s="1031"/>
      <c r="K605" s="1031"/>
      <c r="L605" s="1031"/>
      <c r="M605" s="1031"/>
    </row>
    <row r="606" spans="1:13" x14ac:dyDescent="0.2">
      <c r="A606" s="693">
        <v>602</v>
      </c>
      <c r="B606" s="790" t="str">
        <f t="shared" si="10"/>
        <v>Source for electricity EF</v>
      </c>
      <c r="C606" s="790" t="s">
        <v>1399</v>
      </c>
      <c r="D606" s="1031"/>
      <c r="E606" s="1031"/>
      <c r="F606" s="1031"/>
      <c r="G606" s="1031"/>
      <c r="H606" s="1031"/>
      <c r="I606" s="1031"/>
      <c r="J606" s="1031"/>
      <c r="K606" s="1031"/>
      <c r="L606" s="1031"/>
      <c r="M606" s="1031"/>
    </row>
    <row r="607" spans="1:13" x14ac:dyDescent="0.2">
      <c r="A607" s="693">
        <v>603</v>
      </c>
      <c r="B607" s="790" t="str">
        <f t="shared" si="10"/>
        <v>Embedded electricity (MWh/t)</v>
      </c>
      <c r="C607" s="790" t="s">
        <v>1400</v>
      </c>
      <c r="D607" s="1031"/>
      <c r="E607" s="1031"/>
      <c r="F607" s="1031"/>
      <c r="G607" s="1031"/>
      <c r="H607" s="1031"/>
      <c r="I607" s="1031"/>
      <c r="J607" s="1031"/>
      <c r="K607" s="1031"/>
      <c r="L607" s="1031"/>
      <c r="M607" s="1031"/>
    </row>
    <row r="608" spans="1:13" ht="12.75" x14ac:dyDescent="0.2">
      <c r="A608" s="693">
        <v>604</v>
      </c>
      <c r="B608" s="890" t="str">
        <f t="shared" si="10"/>
        <v>Embedded emissions covered by the carbon price</v>
      </c>
      <c r="C608" s="890" t="s">
        <v>1425</v>
      </c>
      <c r="D608" s="1032"/>
      <c r="E608" s="1032"/>
      <c r="F608" s="1032"/>
      <c r="G608" s="1032"/>
      <c r="H608" s="1032"/>
      <c r="I608" s="1032"/>
      <c r="J608" s="1032"/>
      <c r="K608" s="1032"/>
      <c r="L608" s="1032"/>
      <c r="M608" s="1032"/>
    </row>
    <row r="609" spans="1:13" ht="12.75" x14ac:dyDescent="0.2">
      <c r="A609" s="693">
        <v>605</v>
      </c>
      <c r="B609" s="890" t="str">
        <f t="shared" si="10"/>
        <v>Embedded emissions covered by rebate</v>
      </c>
      <c r="C609" s="890" t="s">
        <v>1430</v>
      </c>
      <c r="D609" s="1032"/>
      <c r="E609" s="1032"/>
      <c r="F609" s="1032"/>
      <c r="G609" s="1032"/>
      <c r="H609" s="1032"/>
      <c r="I609" s="1032"/>
      <c r="J609" s="1032"/>
      <c r="K609" s="1032"/>
      <c r="L609" s="1032"/>
      <c r="M609" s="1032"/>
    </row>
    <row r="610" spans="1:13" x14ac:dyDescent="0.2">
      <c r="A610" s="693">
        <v>606</v>
      </c>
      <c r="B610" s="791" t="str">
        <f t="shared" si="10"/>
        <v>Example process A</v>
      </c>
      <c r="C610" s="791" t="s">
        <v>3601</v>
      </c>
      <c r="D610" s="1033"/>
      <c r="E610" s="1033"/>
      <c r="F610" s="1033"/>
      <c r="G610" s="1033"/>
      <c r="H610" s="1033"/>
      <c r="I610" s="1033"/>
      <c r="J610" s="1033"/>
      <c r="K610" s="1033"/>
      <c r="L610" s="1033"/>
      <c r="M610" s="1033"/>
    </row>
    <row r="611" spans="1:13" x14ac:dyDescent="0.2">
      <c r="A611" s="693">
        <v>607</v>
      </c>
      <c r="B611" s="791" t="str">
        <f t="shared" si="10"/>
        <v>Iron or steel products</v>
      </c>
      <c r="C611" s="791" t="s">
        <v>3602</v>
      </c>
      <c r="D611" s="1033"/>
      <c r="E611" s="1033"/>
      <c r="F611" s="1033"/>
      <c r="G611" s="1033"/>
      <c r="H611" s="1033"/>
      <c r="I611" s="1033"/>
      <c r="J611" s="1033"/>
      <c r="K611" s="1033"/>
      <c r="L611" s="1033"/>
      <c r="M611" s="1033"/>
    </row>
    <row r="612" spans="1:13" x14ac:dyDescent="0.2">
      <c r="A612" s="693">
        <v>608</v>
      </c>
      <c r="B612" s="481" t="str">
        <f t="shared" si="10"/>
        <v>Semi-finished products of iron or non-alloy steel, containing by weight &lt; 0,25% carbon, of circular or polygonal cross-section, forged</v>
      </c>
      <c r="C612" s="481" t="s">
        <v>1723</v>
      </c>
      <c r="D612" s="1034"/>
      <c r="E612" s="1034"/>
      <c r="F612" s="1034"/>
      <c r="G612" s="1034"/>
      <c r="H612" s="1034"/>
      <c r="I612" s="1034"/>
      <c r="J612" s="1034"/>
      <c r="K612" s="1034"/>
      <c r="L612" s="1034"/>
      <c r="M612" s="1034"/>
    </row>
    <row r="613" spans="1:13" x14ac:dyDescent="0.2">
      <c r="A613" s="693">
        <v>609</v>
      </c>
      <c r="B613" s="792" t="str">
        <f t="shared" si="10"/>
        <v>Example name A</v>
      </c>
      <c r="C613" s="792" t="s">
        <v>3603</v>
      </c>
      <c r="D613" s="1035"/>
      <c r="E613" s="1035"/>
      <c r="F613" s="1035"/>
      <c r="G613" s="1035"/>
      <c r="H613" s="1035"/>
      <c r="I613" s="1035"/>
      <c r="J613" s="1035"/>
      <c r="K613" s="1035"/>
      <c r="L613" s="1035"/>
      <c r="M613" s="1035"/>
    </row>
    <row r="614" spans="1:13" x14ac:dyDescent="0.2">
      <c r="A614" s="693">
        <v>610</v>
      </c>
      <c r="B614" s="792" t="str">
        <f t="shared" si="10"/>
        <v>tCO2e/t</v>
      </c>
      <c r="C614" s="792" t="s">
        <v>3604</v>
      </c>
      <c r="D614" s="1035"/>
      <c r="E614" s="1035"/>
      <c r="F614" s="1035"/>
      <c r="G614" s="1035"/>
      <c r="H614" s="1035"/>
      <c r="I614" s="1035"/>
      <c r="J614" s="1035"/>
      <c r="K614" s="1035"/>
      <c r="L614" s="1035"/>
      <c r="M614" s="1035"/>
    </row>
    <row r="615" spans="1:13" x14ac:dyDescent="0.2">
      <c r="A615" s="693">
        <v>611</v>
      </c>
      <c r="B615" s="792" t="str">
        <f t="shared" si="10"/>
        <v>Coal or coke</v>
      </c>
      <c r="C615" s="792" t="s">
        <v>3605</v>
      </c>
      <c r="D615" s="1035"/>
      <c r="E615" s="1035"/>
      <c r="F615" s="1035"/>
      <c r="G615" s="1035"/>
      <c r="H615" s="1035"/>
      <c r="I615" s="1035"/>
      <c r="J615" s="1035"/>
      <c r="K615" s="1035"/>
      <c r="L615" s="1035"/>
      <c r="M615" s="1035"/>
    </row>
    <row r="616" spans="1:13" ht="12.75" x14ac:dyDescent="0.2">
      <c r="A616" s="693">
        <v>612</v>
      </c>
      <c r="B616" s="793" t="str">
        <f t="shared" si="10"/>
        <v>tax</v>
      </c>
      <c r="C616" s="793" t="s">
        <v>3606</v>
      </c>
      <c r="D616" s="1036"/>
      <c r="E616" s="1036"/>
      <c r="F616" s="1036"/>
      <c r="G616" s="1036"/>
      <c r="H616" s="1036"/>
      <c r="I616" s="1036"/>
      <c r="J616" s="1036"/>
      <c r="K616" s="1036"/>
      <c r="L616" s="1036"/>
      <c r="M616" s="1036"/>
    </row>
    <row r="617" spans="1:13" ht="12.75" x14ac:dyDescent="0.2">
      <c r="A617" s="693">
        <v>613</v>
      </c>
      <c r="B617" s="793" t="str">
        <f t="shared" si="10"/>
        <v>USD</v>
      </c>
      <c r="C617" s="793" t="s">
        <v>344</v>
      </c>
      <c r="D617" s="1036"/>
      <c r="E617" s="1036"/>
      <c r="F617" s="1036"/>
      <c r="G617" s="1036"/>
      <c r="H617" s="1036"/>
      <c r="I617" s="1036"/>
      <c r="J617" s="1036"/>
      <c r="K617" s="1036"/>
      <c r="L617" s="1036"/>
      <c r="M617" s="1036"/>
    </row>
    <row r="618" spans="1:13" ht="13.5" thickBot="1" x14ac:dyDescent="0.25">
      <c r="A618" s="693">
        <v>614</v>
      </c>
      <c r="B618" s="794" t="str">
        <f t="shared" si="10"/>
        <v>USD/t</v>
      </c>
      <c r="C618" s="794" t="s">
        <v>3607</v>
      </c>
      <c r="D618" s="1037"/>
      <c r="E618" s="1037"/>
      <c r="F618" s="1037"/>
      <c r="G618" s="1037"/>
      <c r="H618" s="1037"/>
      <c r="I618" s="1037"/>
      <c r="J618" s="1037"/>
      <c r="K618" s="1037"/>
      <c r="L618" s="1037"/>
      <c r="M618" s="1037"/>
    </row>
    <row r="619" spans="1:13" ht="13.5" thickBot="1" x14ac:dyDescent="0.25">
      <c r="A619" s="693">
        <v>615</v>
      </c>
      <c r="B619" s="703" t="str">
        <f t="shared" si="10"/>
        <v>Communication with reporting declarants</v>
      </c>
      <c r="C619" s="703" t="s">
        <v>3608</v>
      </c>
      <c r="D619" s="930"/>
      <c r="E619" s="930"/>
      <c r="F619" s="930"/>
      <c r="G619" s="930"/>
      <c r="H619" s="930"/>
      <c r="I619" s="930"/>
      <c r="J619" s="930"/>
      <c r="K619" s="930"/>
      <c r="L619" s="930"/>
      <c r="M619" s="930"/>
    </row>
    <row r="620" spans="1:13" x14ac:dyDescent="0.2">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3609</v>
      </c>
      <c r="D620" s="1013"/>
      <c r="E620" s="1013"/>
      <c r="F620" s="1013"/>
      <c r="G620" s="1013"/>
      <c r="H620" s="1013"/>
      <c r="I620" s="1013"/>
      <c r="J620" s="1013"/>
      <c r="K620" s="1013"/>
      <c r="L620" s="1013"/>
      <c r="M620" s="1013"/>
    </row>
    <row r="621" spans="1:13" ht="15.75" x14ac:dyDescent="0.2">
      <c r="A621" s="693">
        <v>617</v>
      </c>
      <c r="B621" s="315" t="str">
        <f t="shared" si="10"/>
        <v>Summary of the installation and production processes</v>
      </c>
      <c r="C621" s="315" t="s">
        <v>3610</v>
      </c>
      <c r="D621" s="939"/>
      <c r="E621" s="939"/>
      <c r="F621" s="939"/>
      <c r="G621" s="939"/>
      <c r="H621" s="939"/>
      <c r="I621" s="939"/>
      <c r="J621" s="939"/>
      <c r="K621" s="939"/>
      <c r="L621" s="939"/>
      <c r="M621" s="939"/>
    </row>
    <row r="622" spans="1:13" ht="15" x14ac:dyDescent="0.2">
      <c r="A622" s="693">
        <v>618</v>
      </c>
      <c r="B622" s="743" t="str">
        <f t="shared" si="10"/>
        <v>Installation details</v>
      </c>
      <c r="C622" s="743" t="s">
        <v>3611</v>
      </c>
      <c r="D622" s="1023"/>
      <c r="E622" s="1023"/>
      <c r="F622" s="1023"/>
      <c r="G622" s="1023"/>
      <c r="H622" s="1023"/>
      <c r="I622" s="1023"/>
      <c r="J622" s="1023"/>
      <c r="K622" s="1023"/>
      <c r="L622" s="1023"/>
      <c r="M622" s="1023"/>
    </row>
    <row r="623" spans="1:13" ht="15" x14ac:dyDescent="0.2">
      <c r="A623" s="693">
        <v>619</v>
      </c>
      <c r="B623" s="743" t="str">
        <f t="shared" si="10"/>
        <v>Summary of the production processes and production routes, where relevant</v>
      </c>
      <c r="C623" s="743" t="s">
        <v>3612</v>
      </c>
      <c r="D623" s="1023"/>
      <c r="E623" s="1023"/>
      <c r="F623" s="1023"/>
      <c r="G623" s="1023"/>
      <c r="H623" s="1023"/>
      <c r="I623" s="1023"/>
      <c r="J623" s="1023"/>
      <c r="K623" s="1023"/>
      <c r="L623" s="1023"/>
      <c r="M623" s="1023"/>
    </row>
    <row r="624" spans="1:13" ht="12.75" x14ac:dyDescent="0.2">
      <c r="A624" s="693">
        <v>620</v>
      </c>
      <c r="B624" s="681" t="str">
        <f t="shared" si="10"/>
        <v>Total direct emissions during reporting period:</v>
      </c>
      <c r="C624" s="681" t="s">
        <v>1378</v>
      </c>
      <c r="D624" s="986"/>
      <c r="E624" s="986"/>
      <c r="F624" s="986"/>
      <c r="G624" s="986"/>
      <c r="H624" s="986"/>
      <c r="I624" s="986"/>
      <c r="J624" s="986"/>
      <c r="K624" s="986"/>
      <c r="L624" s="986"/>
      <c r="M624" s="986"/>
    </row>
    <row r="625" spans="1:13" ht="12.75" x14ac:dyDescent="0.2">
      <c r="A625" s="693">
        <v>621</v>
      </c>
      <c r="B625" s="745" t="str">
        <f t="shared" si="10"/>
        <v>Total indirect emissions during reporting period:</v>
      </c>
      <c r="C625" s="745" t="s">
        <v>1380</v>
      </c>
      <c r="D625" s="1038"/>
      <c r="E625" s="1038"/>
      <c r="F625" s="1038"/>
      <c r="G625" s="1038"/>
      <c r="H625" s="1038"/>
      <c r="I625" s="1038"/>
      <c r="J625" s="1038"/>
      <c r="K625" s="1038"/>
      <c r="L625" s="1038"/>
      <c r="M625" s="1038"/>
    </row>
    <row r="626" spans="1:13" ht="12.75" x14ac:dyDescent="0.2">
      <c r="A626" s="693">
        <v>622</v>
      </c>
      <c r="B626" s="684" t="str">
        <f t="shared" si="10"/>
        <v>Total emissions during reporting period:</v>
      </c>
      <c r="C626" s="684" t="s">
        <v>1382</v>
      </c>
      <c r="D626" s="987"/>
      <c r="E626" s="987"/>
      <c r="F626" s="987"/>
      <c r="G626" s="987"/>
      <c r="H626" s="987"/>
      <c r="I626" s="987"/>
      <c r="J626" s="987"/>
      <c r="K626" s="987"/>
      <c r="L626" s="987"/>
      <c r="M626" s="987"/>
    </row>
    <row r="627" spans="1:13" ht="12.75" x14ac:dyDescent="0.2">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3613</v>
      </c>
      <c r="D627" s="1039"/>
      <c r="E627" s="1039"/>
      <c r="F627" s="1039"/>
      <c r="G627" s="1039"/>
      <c r="H627" s="1039"/>
      <c r="I627" s="1039"/>
      <c r="J627" s="1039"/>
      <c r="K627" s="1039"/>
      <c r="L627" s="1039"/>
      <c r="M627" s="1039"/>
    </row>
    <row r="628" spans="1:13" x14ac:dyDescent="0.2">
      <c r="A628" s="693">
        <v>624</v>
      </c>
      <c r="B628" s="224" t="str">
        <f t="shared" si="10"/>
        <v>Share of precursor consumed, per unit of good produced</v>
      </c>
      <c r="C628" s="224" t="s">
        <v>3614</v>
      </c>
      <c r="D628" s="1040"/>
      <c r="E628" s="1040"/>
      <c r="F628" s="1040"/>
      <c r="G628" s="1040"/>
      <c r="H628" s="1040"/>
      <c r="I628" s="1040"/>
      <c r="J628" s="1040"/>
      <c r="K628" s="1040"/>
      <c r="L628" s="1040"/>
      <c r="M628" s="1040"/>
    </row>
    <row r="629" spans="1:13" x14ac:dyDescent="0.2">
      <c r="A629" s="693">
        <v>625</v>
      </c>
      <c r="B629" s="224" t="str">
        <f t="shared" si="10"/>
        <v>Share of purchased precursor consumed, per unit of good produced</v>
      </c>
      <c r="C629" s="224" t="s">
        <v>3615</v>
      </c>
      <c r="D629" s="1040"/>
      <c r="E629" s="1040"/>
      <c r="F629" s="1040"/>
      <c r="G629" s="1040"/>
      <c r="H629" s="1040"/>
      <c r="I629" s="1040"/>
      <c r="J629" s="1040"/>
      <c r="K629" s="1040"/>
      <c r="L629" s="1040"/>
      <c r="M629" s="1040"/>
    </row>
    <row r="630" spans="1:13" x14ac:dyDescent="0.2">
      <c r="A630" s="693">
        <v>626</v>
      </c>
      <c r="B630" s="224" t="str">
        <f t="shared" si="10"/>
        <v>Precursors</v>
      </c>
      <c r="C630" s="224" t="s">
        <v>3616</v>
      </c>
      <c r="D630" s="1040"/>
      <c r="E630" s="1040"/>
      <c r="F630" s="1040"/>
      <c r="G630" s="1040"/>
      <c r="H630" s="1040"/>
      <c r="I630" s="1040"/>
      <c r="J630" s="1040"/>
      <c r="K630" s="1040"/>
      <c r="L630" s="1040"/>
      <c r="M630" s="1040"/>
    </row>
    <row r="631" spans="1:13" ht="12.75" x14ac:dyDescent="0.2">
      <c r="A631" s="693">
        <v>627</v>
      </c>
      <c r="B631" s="746" t="str">
        <f t="shared" si="10"/>
        <v>n.a.</v>
      </c>
      <c r="C631" s="746" t="s">
        <v>3617</v>
      </c>
      <c r="D631" s="1041"/>
      <c r="E631" s="1041"/>
      <c r="F631" s="1041"/>
      <c r="G631" s="1041"/>
      <c r="H631" s="1041"/>
      <c r="I631" s="1041"/>
      <c r="J631" s="1041"/>
      <c r="K631" s="1041"/>
      <c r="L631" s="1041"/>
      <c r="M631" s="1041"/>
    </row>
    <row r="632" spans="1:13" ht="12.75" x14ac:dyDescent="0.2">
      <c r="A632" s="693">
        <v>628</v>
      </c>
      <c r="B632" s="746" t="str">
        <f t="shared" si="10"/>
        <v>tonnes</v>
      </c>
      <c r="C632" s="746" t="s">
        <v>3618</v>
      </c>
      <c r="D632" s="1041"/>
      <c r="E632" s="1041"/>
      <c r="F632" s="1041"/>
      <c r="G632" s="1041"/>
      <c r="H632" s="1041"/>
      <c r="I632" s="1041"/>
      <c r="J632" s="1041"/>
      <c r="K632" s="1041"/>
      <c r="L632" s="1041"/>
      <c r="M632" s="1041"/>
    </row>
    <row r="633" spans="1:13" ht="12.75" x14ac:dyDescent="0.2">
      <c r="A633" s="693">
        <v>629</v>
      </c>
      <c r="B633" s="747" t="str">
        <f t="shared" si="10"/>
        <v>1000Nm3</v>
      </c>
      <c r="C633" s="747" t="s">
        <v>3619</v>
      </c>
      <c r="D633" s="1042"/>
      <c r="E633" s="1042"/>
      <c r="F633" s="1042"/>
      <c r="G633" s="1042"/>
      <c r="H633" s="1042"/>
      <c r="I633" s="1042"/>
      <c r="J633" s="1042"/>
      <c r="K633" s="1042"/>
      <c r="L633" s="1042"/>
      <c r="M633" s="1042"/>
    </row>
    <row r="634" spans="1:13" ht="12.75" x14ac:dyDescent="0.2">
      <c r="A634" s="693">
        <v>630</v>
      </c>
      <c r="B634" s="727" t="str">
        <f t="shared" si="10"/>
        <v>None</v>
      </c>
      <c r="C634" s="727" t="s">
        <v>3620</v>
      </c>
      <c r="D634" s="981"/>
      <c r="E634" s="981"/>
      <c r="F634" s="981"/>
      <c r="G634" s="981"/>
      <c r="H634" s="981"/>
      <c r="I634" s="981"/>
      <c r="J634" s="981"/>
      <c r="K634" s="981"/>
      <c r="L634" s="981"/>
      <c r="M634" s="981"/>
    </row>
    <row r="635" spans="1:13" ht="12.75" x14ac:dyDescent="0.2">
      <c r="A635" s="693">
        <v>631</v>
      </c>
      <c r="B635" s="747" t="str">
        <f t="shared" si="10"/>
        <v>Emissions Trading System</v>
      </c>
      <c r="C635" s="747" t="s">
        <v>3621</v>
      </c>
      <c r="D635" s="1042"/>
      <c r="E635" s="1042"/>
      <c r="F635" s="1042"/>
      <c r="G635" s="1042"/>
      <c r="H635" s="1042"/>
      <c r="I635" s="1042"/>
      <c r="J635" s="1042"/>
      <c r="K635" s="1042"/>
      <c r="L635" s="1042"/>
      <c r="M635" s="1042"/>
    </row>
    <row r="636" spans="1:13" ht="12.75" x14ac:dyDescent="0.2">
      <c r="A636" s="693">
        <v>632</v>
      </c>
      <c r="B636" s="747" t="str">
        <f t="shared" si="10"/>
        <v>Tax or levy</v>
      </c>
      <c r="C636" s="747" t="s">
        <v>3622</v>
      </c>
      <c r="D636" s="1042"/>
      <c r="E636" s="1042"/>
      <c r="F636" s="1042"/>
      <c r="G636" s="1042"/>
      <c r="H636" s="1042"/>
      <c r="I636" s="1042"/>
      <c r="J636" s="1042"/>
      <c r="K636" s="1042"/>
      <c r="L636" s="1042"/>
      <c r="M636" s="1042"/>
    </row>
    <row r="637" spans="1:13" ht="12.75" x14ac:dyDescent="0.2">
      <c r="A637" s="693">
        <v>633</v>
      </c>
      <c r="B637" s="747" t="str">
        <f t="shared" si="10"/>
        <v>Combination</v>
      </c>
      <c r="C637" s="747" t="s">
        <v>3623</v>
      </c>
      <c r="D637" s="1042"/>
      <c r="E637" s="1042"/>
      <c r="F637" s="1042"/>
      <c r="G637" s="1042"/>
      <c r="H637" s="1042"/>
      <c r="I637" s="1042"/>
      <c r="J637" s="1042"/>
      <c r="K637" s="1042"/>
      <c r="L637" s="1042"/>
      <c r="M637" s="1042"/>
    </row>
    <row r="638" spans="1:13" ht="12.75" x14ac:dyDescent="0.2">
      <c r="A638" s="693">
        <v>634</v>
      </c>
      <c r="B638" s="747" t="str">
        <f t="shared" si="10"/>
        <v>Other</v>
      </c>
      <c r="C638" s="747" t="s">
        <v>1373</v>
      </c>
      <c r="D638" s="1042"/>
      <c r="E638" s="1042"/>
      <c r="F638" s="1042"/>
      <c r="G638" s="1042"/>
      <c r="H638" s="1042"/>
      <c r="I638" s="1042"/>
      <c r="J638" s="1042"/>
      <c r="K638" s="1042"/>
      <c r="L638" s="1042"/>
      <c r="M638" s="1042"/>
    </row>
    <row r="639" spans="1:13" ht="12.75" x14ac:dyDescent="0.2">
      <c r="A639" s="693">
        <v>635</v>
      </c>
      <c r="B639" s="747" t="str">
        <f t="shared" si="10"/>
        <v>Free allocation</v>
      </c>
      <c r="C639" s="747" t="s">
        <v>3624</v>
      </c>
      <c r="D639" s="1042"/>
      <c r="E639" s="1042"/>
      <c r="F639" s="1042"/>
      <c r="G639" s="1042"/>
      <c r="H639" s="1042"/>
      <c r="I639" s="1042"/>
      <c r="J639" s="1042"/>
      <c r="K639" s="1042"/>
      <c r="L639" s="1042"/>
      <c r="M639" s="1042"/>
    </row>
    <row r="640" spans="1:13" ht="12.75" x14ac:dyDescent="0.2">
      <c r="A640" s="693">
        <v>636</v>
      </c>
      <c r="B640" s="747" t="str">
        <f t="shared" si="10"/>
        <v>Financial compensation</v>
      </c>
      <c r="C640" s="747" t="s">
        <v>3625</v>
      </c>
      <c r="D640" s="1042"/>
      <c r="E640" s="1042"/>
      <c r="F640" s="1042"/>
      <c r="G640" s="1042"/>
      <c r="H640" s="1042"/>
      <c r="I640" s="1042"/>
      <c r="J640" s="1042"/>
      <c r="K640" s="1042"/>
      <c r="L640" s="1042"/>
      <c r="M640" s="1042"/>
    </row>
    <row r="641" spans="1:13" ht="12.75" x14ac:dyDescent="0.2">
      <c r="A641" s="693">
        <v>637</v>
      </c>
      <c r="B641" s="747" t="str">
        <f t="shared" si="10"/>
        <v>Tax deduction</v>
      </c>
      <c r="C641" s="747" t="s">
        <v>3626</v>
      </c>
      <c r="D641" s="1042"/>
      <c r="E641" s="1042"/>
      <c r="F641" s="1042"/>
      <c r="G641" s="1042"/>
      <c r="H641" s="1042"/>
      <c r="I641" s="1042"/>
      <c r="J641" s="1042"/>
      <c r="K641" s="1042"/>
      <c r="L641" s="1042"/>
      <c r="M641" s="1042"/>
    </row>
    <row r="642" spans="1:13" ht="12.75" x14ac:dyDescent="0.2">
      <c r="A642" s="693">
        <v>638</v>
      </c>
      <c r="B642" s="748" t="str">
        <f t="shared" si="10"/>
        <v>h/year</v>
      </c>
      <c r="C642" s="748" t="s">
        <v>3627</v>
      </c>
      <c r="D642" s="1043"/>
      <c r="E642" s="1043"/>
      <c r="F642" s="1043"/>
      <c r="G642" s="1043"/>
      <c r="H642" s="1043"/>
      <c r="I642" s="1043"/>
      <c r="J642" s="1043"/>
      <c r="K642" s="1043"/>
      <c r="L642" s="1043"/>
      <c r="M642" s="1043"/>
    </row>
    <row r="643" spans="1:13" ht="12.75" x14ac:dyDescent="0.2">
      <c r="A643" s="693">
        <v>639</v>
      </c>
      <c r="B643" s="748" t="str">
        <f t="shared" si="10"/>
        <v>1000Nm3/h</v>
      </c>
      <c r="C643" s="748" t="s">
        <v>3628</v>
      </c>
      <c r="D643" s="1043"/>
      <c r="E643" s="1043"/>
      <c r="F643" s="1043"/>
      <c r="G643" s="1043"/>
      <c r="H643" s="1043"/>
      <c r="I643" s="1043"/>
      <c r="J643" s="1043"/>
      <c r="K643" s="1043"/>
      <c r="L643" s="1043"/>
      <c r="M643" s="1043"/>
    </row>
    <row r="644" spans="1:13" ht="12.75" x14ac:dyDescent="0.2">
      <c r="A644" s="693">
        <v>640</v>
      </c>
      <c r="B644" s="748" t="str">
        <f t="shared" si="10"/>
        <v>g/Nm3</v>
      </c>
      <c r="C644" s="748" t="s">
        <v>3629</v>
      </c>
      <c r="D644" s="1043"/>
      <c r="E644" s="1043"/>
      <c r="F644" s="1043"/>
      <c r="G644" s="1043"/>
      <c r="H644" s="1043"/>
      <c r="I644" s="1043"/>
      <c r="J644" s="1043"/>
      <c r="K644" s="1043"/>
      <c r="L644" s="1043"/>
      <c r="M644" s="1043"/>
    </row>
    <row r="645" spans="1:13" ht="12.75" x14ac:dyDescent="0.2">
      <c r="A645" s="693">
        <v>641</v>
      </c>
      <c r="B645" s="748" t="str">
        <f t="shared" si="10"/>
        <v>Year</v>
      </c>
      <c r="C645" s="748" t="s">
        <v>3630</v>
      </c>
      <c r="D645" s="1043"/>
      <c r="E645" s="1043"/>
      <c r="F645" s="1043"/>
      <c r="G645" s="1043"/>
      <c r="H645" s="1043"/>
      <c r="I645" s="1043"/>
      <c r="J645" s="1043"/>
      <c r="K645" s="1043"/>
      <c r="L645" s="1043"/>
      <c r="M645" s="1043"/>
    </row>
    <row r="646" spans="1:13" ht="12.75" x14ac:dyDescent="0.2">
      <c r="A646" s="693">
        <v>642</v>
      </c>
      <c r="B646" s="727" t="str">
        <f t="shared" si="10"/>
        <v>Process emissions</v>
      </c>
      <c r="C646" s="727" t="s">
        <v>3631</v>
      </c>
      <c r="D646" s="981"/>
      <c r="E646" s="981"/>
      <c r="F646" s="981"/>
      <c r="G646" s="981"/>
      <c r="H646" s="981"/>
      <c r="I646" s="981"/>
      <c r="J646" s="981"/>
      <c r="K646" s="981"/>
      <c r="L646" s="981"/>
      <c r="M646" s="981"/>
    </row>
    <row r="647" spans="1:13" ht="12.75" x14ac:dyDescent="0.2">
      <c r="A647" s="693">
        <v>643</v>
      </c>
      <c r="B647" s="727" t="str">
        <f t="shared" si="10"/>
        <v>Slope method</v>
      </c>
      <c r="C647" s="727" t="s">
        <v>3632</v>
      </c>
      <c r="D647" s="981"/>
      <c r="E647" s="981"/>
      <c r="F647" s="981"/>
      <c r="G647" s="981"/>
      <c r="H647" s="981"/>
      <c r="I647" s="981"/>
      <c r="J647" s="981"/>
      <c r="K647" s="981"/>
      <c r="L647" s="981"/>
      <c r="M647" s="981"/>
    </row>
    <row r="648" spans="1:13" ht="12.75" x14ac:dyDescent="0.2">
      <c r="A648" s="693">
        <v>644</v>
      </c>
      <c r="B648" s="747" t="str">
        <f t="shared" si="10"/>
        <v>Natural gas</v>
      </c>
      <c r="C648" s="747" t="s">
        <v>3633</v>
      </c>
      <c r="D648" s="1042"/>
      <c r="E648" s="1042"/>
      <c r="F648" s="1042"/>
      <c r="G648" s="1042"/>
      <c r="H648" s="1042"/>
      <c r="I648" s="1042"/>
      <c r="J648" s="1042"/>
      <c r="K648" s="1042"/>
      <c r="L648" s="1042"/>
      <c r="M648" s="1042"/>
    </row>
    <row r="649" spans="1:13" ht="12.75" x14ac:dyDescent="0.2">
      <c r="A649" s="693">
        <v>645</v>
      </c>
      <c r="B649" s="747" t="str">
        <f t="shared" si="10"/>
        <v>Biogas</v>
      </c>
      <c r="C649" s="747" t="s">
        <v>3634</v>
      </c>
      <c r="D649" s="1042"/>
      <c r="E649" s="1042"/>
      <c r="F649" s="1042"/>
      <c r="G649" s="1042"/>
      <c r="H649" s="1042"/>
      <c r="I649" s="1042"/>
      <c r="J649" s="1042"/>
      <c r="K649" s="1042"/>
      <c r="L649" s="1042"/>
      <c r="M649" s="1042"/>
    </row>
    <row r="650" spans="1:13" ht="12.75" x14ac:dyDescent="0.2">
      <c r="A650" s="693">
        <v>646</v>
      </c>
      <c r="B650" s="747" t="str">
        <f t="shared" si="10"/>
        <v>Hydrogen</v>
      </c>
      <c r="C650" s="747" t="s">
        <v>1569</v>
      </c>
      <c r="D650" s="1042"/>
      <c r="E650" s="1042"/>
      <c r="F650" s="1042"/>
      <c r="G650" s="1042"/>
      <c r="H650" s="1042"/>
      <c r="I650" s="1042"/>
      <c r="J650" s="1042"/>
      <c r="K650" s="1042"/>
      <c r="L650" s="1042"/>
      <c r="M650" s="1042"/>
    </row>
    <row r="651" spans="1:13" ht="12.75" x14ac:dyDescent="0.2">
      <c r="A651" s="693">
        <v>647</v>
      </c>
      <c r="B651" s="747" t="str">
        <f t="shared" ref="B651:B714" si="11">IFERROR(INDEX(C651:M651,$A$4-2),$C651)</f>
        <v>Missing! Please assign ALL relevant aggregated goods categories to a 'production process'.</v>
      </c>
      <c r="C651" s="747" t="s">
        <v>3635</v>
      </c>
      <c r="D651" s="1042"/>
      <c r="E651" s="1042"/>
      <c r="F651" s="1042"/>
      <c r="G651" s="1042"/>
      <c r="H651" s="1042"/>
      <c r="I651" s="1042"/>
      <c r="J651" s="1042"/>
      <c r="K651" s="1042"/>
      <c r="L651" s="1042"/>
      <c r="M651" s="1042"/>
    </row>
    <row r="652" spans="1:13" ht="12.75" x14ac:dyDescent="0.2">
      <c r="A652" s="693">
        <v>648</v>
      </c>
      <c r="B652" s="727" t="str">
        <f t="shared" si="11"/>
        <v>Click here to proceed to next sheet</v>
      </c>
      <c r="C652" s="727" t="s">
        <v>3636</v>
      </c>
      <c r="D652" s="981"/>
      <c r="E652" s="981"/>
      <c r="F652" s="981"/>
      <c r="G652" s="981"/>
      <c r="H652" s="981"/>
      <c r="I652" s="981"/>
      <c r="J652" s="981"/>
      <c r="K652" s="981"/>
      <c r="L652" s="981"/>
      <c r="M652" s="981"/>
    </row>
    <row r="653" spans="1:13" ht="12.75" x14ac:dyDescent="0.2">
      <c r="A653" s="693">
        <v>649</v>
      </c>
      <c r="B653" s="727" t="str">
        <f t="shared" si="11"/>
        <v>Only direct production</v>
      </c>
      <c r="C653" s="727" t="s">
        <v>3637</v>
      </c>
      <c r="D653" s="981"/>
      <c r="E653" s="981"/>
      <c r="F653" s="981"/>
      <c r="G653" s="981"/>
      <c r="H653" s="981"/>
      <c r="I653" s="981"/>
      <c r="J653" s="981"/>
      <c r="K653" s="981"/>
      <c r="L653" s="981"/>
      <c r="M653" s="981"/>
    </row>
    <row r="654" spans="1:13" ht="12.75" x14ac:dyDescent="0.2">
      <c r="A654" s="693">
        <v>650</v>
      </c>
      <c r="B654" s="727" t="str">
        <f t="shared" si="11"/>
        <v>All production routes</v>
      </c>
      <c r="C654" s="727" t="s">
        <v>3638</v>
      </c>
      <c r="D654" s="981"/>
      <c r="E654" s="981"/>
      <c r="F654" s="981"/>
      <c r="G654" s="981"/>
      <c r="H654" s="981"/>
      <c r="I654" s="981"/>
      <c r="J654" s="981"/>
      <c r="K654" s="981"/>
      <c r="L654" s="981"/>
      <c r="M654" s="981"/>
    </row>
    <row r="655" spans="1:13" ht="12.75" x14ac:dyDescent="0.2">
      <c r="A655" s="693">
        <v>651</v>
      </c>
      <c r="B655" s="727" t="str">
        <f t="shared" si="11"/>
        <v>Please select…</v>
      </c>
      <c r="C655" s="727" t="s">
        <v>3639</v>
      </c>
      <c r="D655" s="981"/>
      <c r="E655" s="981"/>
      <c r="F655" s="981"/>
      <c r="G655" s="981"/>
      <c r="H655" s="981"/>
      <c r="I655" s="981"/>
      <c r="J655" s="981"/>
      <c r="K655" s="981"/>
      <c r="L655" s="981"/>
      <c r="M655" s="981"/>
    </row>
    <row r="656" spans="1:13" ht="12.75" x14ac:dyDescent="0.2">
      <c r="A656" s="693">
        <v>652</v>
      </c>
      <c r="B656" s="727" t="str">
        <f t="shared" si="11"/>
        <v>Incomplete!</v>
      </c>
      <c r="C656" s="727" t="s">
        <v>3640</v>
      </c>
      <c r="D656" s="981"/>
      <c r="E656" s="981"/>
      <c r="F656" s="981"/>
      <c r="G656" s="981"/>
      <c r="H656" s="981"/>
      <c r="I656" s="981"/>
      <c r="J656" s="981"/>
      <c r="K656" s="981"/>
      <c r="L656" s="981"/>
      <c r="M656" s="981"/>
    </row>
    <row r="657" spans="1:13" ht="12.75" x14ac:dyDescent="0.2">
      <c r="A657" s="693">
        <v>653</v>
      </c>
      <c r="B657" s="727" t="str">
        <f t="shared" si="11"/>
        <v>Duplicate!</v>
      </c>
      <c r="C657" s="727" t="s">
        <v>3641</v>
      </c>
      <c r="D657" s="981"/>
      <c r="E657" s="981"/>
      <c r="F657" s="981"/>
      <c r="G657" s="981"/>
      <c r="H657" s="981"/>
      <c r="I657" s="981"/>
      <c r="J657" s="981"/>
      <c r="K657" s="981"/>
      <c r="L657" s="981"/>
      <c r="M657" s="981"/>
    </row>
    <row r="658" spans="1:13" ht="12.75" x14ac:dyDescent="0.2">
      <c r="A658" s="693">
        <v>654</v>
      </c>
      <c r="B658" s="727" t="str">
        <f t="shared" si="11"/>
        <v>Measured</v>
      </c>
      <c r="C658" s="727" t="s">
        <v>3642</v>
      </c>
      <c r="D658" s="981"/>
      <c r="E658" s="981"/>
      <c r="F658" s="981"/>
      <c r="G658" s="981"/>
      <c r="H658" s="981"/>
      <c r="I658" s="981"/>
      <c r="J658" s="981"/>
      <c r="K658" s="981"/>
      <c r="L658" s="981"/>
      <c r="M658" s="981"/>
    </row>
    <row r="659" spans="1:13" ht="12.75" x14ac:dyDescent="0.2">
      <c r="A659" s="693">
        <v>655</v>
      </c>
      <c r="B659" s="727" t="str">
        <f t="shared" si="11"/>
        <v>Default</v>
      </c>
      <c r="C659" s="727" t="s">
        <v>3643</v>
      </c>
      <c r="D659" s="981"/>
      <c r="E659" s="981"/>
      <c r="F659" s="981"/>
      <c r="G659" s="981"/>
      <c r="H659" s="981"/>
      <c r="I659" s="981"/>
      <c r="J659" s="981"/>
      <c r="K659" s="981"/>
      <c r="L659" s="981"/>
      <c r="M659" s="981"/>
    </row>
    <row r="660" spans="1:13" ht="12.75" x14ac:dyDescent="0.2">
      <c r="A660" s="693">
        <v>656</v>
      </c>
      <c r="B660" s="727" t="str">
        <f t="shared" si="11"/>
        <v>Please click on this link for further guidance on how to complete this section.</v>
      </c>
      <c r="C660" s="727" t="s">
        <v>3644</v>
      </c>
      <c r="D660" s="981"/>
      <c r="E660" s="981"/>
      <c r="F660" s="981"/>
      <c r="G660" s="981"/>
      <c r="H660" s="981"/>
      <c r="I660" s="981"/>
      <c r="J660" s="981"/>
      <c r="K660" s="981"/>
      <c r="L660" s="981"/>
      <c r="M660" s="981"/>
    </row>
    <row r="661" spans="1:13" ht="12.75" x14ac:dyDescent="0.2">
      <c r="A661" s="693">
        <v>657</v>
      </c>
      <c r="B661" s="727" t="str">
        <f t="shared" si="11"/>
        <v>Please click on this link if you want to go back to the relevant section for data entry.</v>
      </c>
      <c r="C661" s="727" t="s">
        <v>3645</v>
      </c>
      <c r="D661" s="981"/>
      <c r="E661" s="981"/>
      <c r="F661" s="981"/>
      <c r="G661" s="981"/>
      <c r="H661" s="981"/>
      <c r="I661" s="981"/>
      <c r="J661" s="981"/>
      <c r="K661" s="981"/>
      <c r="L661" s="981"/>
      <c r="M661" s="981"/>
    </row>
    <row r="662" spans="1:13" ht="12.75" x14ac:dyDescent="0.2">
      <c r="A662" s="693">
        <v>658</v>
      </c>
      <c r="B662" s="727" t="str">
        <f t="shared" si="11"/>
        <v>Please click on this link to go to the "tool for calculation of the carbon price due".</v>
      </c>
      <c r="C662" s="727" t="s">
        <v>3646</v>
      </c>
      <c r="D662" s="981"/>
      <c r="E662" s="981"/>
      <c r="F662" s="981"/>
      <c r="G662" s="981"/>
      <c r="H662" s="981"/>
      <c r="I662" s="981"/>
      <c r="J662" s="981"/>
      <c r="K662" s="981"/>
      <c r="L662" s="981"/>
      <c r="M662" s="981"/>
    </row>
    <row r="663" spans="1:13" ht="12.75" x14ac:dyDescent="0.2">
      <c r="A663" s="693">
        <v>659</v>
      </c>
      <c r="B663" s="727" t="str">
        <f t="shared" si="11"/>
        <v>Please click on this link to go to the "CHP Tool for attributing emissions between heat and electricity".</v>
      </c>
      <c r="C663" s="727" t="s">
        <v>3647</v>
      </c>
      <c r="D663" s="981"/>
      <c r="E663" s="981"/>
      <c r="F663" s="981"/>
      <c r="G663" s="981"/>
      <c r="H663" s="981"/>
      <c r="I663" s="981"/>
      <c r="J663" s="981"/>
      <c r="K663" s="981"/>
      <c r="L663" s="981"/>
      <c r="M663" s="981"/>
    </row>
    <row r="664" spans="1:13" ht="12.75" x14ac:dyDescent="0.2">
      <c r="A664" s="693">
        <v>660</v>
      </c>
      <c r="B664" s="383" t="str">
        <f t="shared" si="11"/>
        <v>Cement</v>
      </c>
      <c r="C664" s="383" t="s">
        <v>3648</v>
      </c>
      <c r="D664" s="1044"/>
      <c r="E664" s="1044"/>
      <c r="F664" s="1044"/>
      <c r="G664" s="1044"/>
      <c r="H664" s="1044"/>
      <c r="I664" s="1044"/>
      <c r="J664" s="1044"/>
      <c r="K664" s="1044"/>
      <c r="L664" s="1044"/>
      <c r="M664" s="1044"/>
    </row>
    <row r="665" spans="1:13" ht="12.75" x14ac:dyDescent="0.2">
      <c r="A665" s="693">
        <v>661</v>
      </c>
      <c r="B665" s="383" t="str">
        <f t="shared" si="11"/>
        <v>Cement clinker</v>
      </c>
      <c r="C665" s="383" t="s">
        <v>3649</v>
      </c>
      <c r="D665" s="1044"/>
      <c r="E665" s="1044"/>
      <c r="F665" s="1044"/>
      <c r="G665" s="1044"/>
      <c r="H665" s="1044"/>
      <c r="I665" s="1044"/>
      <c r="J665" s="1044"/>
      <c r="K665" s="1044"/>
      <c r="L665" s="1044"/>
      <c r="M665" s="1044"/>
    </row>
    <row r="666" spans="1:13" ht="12.75" x14ac:dyDescent="0.2">
      <c r="A666" s="693">
        <v>662</v>
      </c>
      <c r="B666" s="383" t="str">
        <f t="shared" si="11"/>
        <v xml:space="preserve">Calcined clays </v>
      </c>
      <c r="C666" s="383" t="s">
        <v>3650</v>
      </c>
      <c r="D666" s="1044"/>
      <c r="E666" s="1044"/>
      <c r="F666" s="1044"/>
      <c r="G666" s="1044"/>
      <c r="H666" s="1044"/>
      <c r="I666" s="1044"/>
      <c r="J666" s="1044"/>
      <c r="K666" s="1044"/>
      <c r="L666" s="1044"/>
      <c r="M666" s="1044"/>
    </row>
    <row r="667" spans="1:13" ht="12.75" x14ac:dyDescent="0.2">
      <c r="A667" s="693">
        <v>663</v>
      </c>
      <c r="B667" s="383" t="str">
        <f t="shared" si="11"/>
        <v>Aluminous cement</v>
      </c>
      <c r="C667" s="383" t="s">
        <v>1561</v>
      </c>
      <c r="D667" s="1044"/>
      <c r="E667" s="1044"/>
      <c r="F667" s="1044"/>
      <c r="G667" s="1044"/>
      <c r="H667" s="1044"/>
      <c r="I667" s="1044"/>
      <c r="J667" s="1044"/>
      <c r="K667" s="1044"/>
      <c r="L667" s="1044"/>
      <c r="M667" s="1044"/>
    </row>
    <row r="668" spans="1:13" ht="12.75" x14ac:dyDescent="0.2">
      <c r="A668" s="693">
        <v>664</v>
      </c>
      <c r="B668" s="383" t="str">
        <f t="shared" si="11"/>
        <v>Crude steel</v>
      </c>
      <c r="C668" s="383" t="s">
        <v>3651</v>
      </c>
      <c r="D668" s="1044"/>
      <c r="E668" s="1044"/>
      <c r="F668" s="1044"/>
      <c r="G668" s="1044"/>
      <c r="H668" s="1044"/>
      <c r="I668" s="1044"/>
      <c r="J668" s="1044"/>
      <c r="K668" s="1044"/>
      <c r="L668" s="1044"/>
      <c r="M668" s="1044"/>
    </row>
    <row r="669" spans="1:13" ht="12.75" x14ac:dyDescent="0.2">
      <c r="A669" s="693">
        <v>665</v>
      </c>
      <c r="B669" s="383" t="str">
        <f t="shared" si="11"/>
        <v>Basic oxygen steelmaking</v>
      </c>
      <c r="C669" s="383" t="s">
        <v>3652</v>
      </c>
      <c r="D669" s="1044"/>
      <c r="E669" s="1044"/>
      <c r="F669" s="1044"/>
      <c r="G669" s="1044"/>
      <c r="H669" s="1044"/>
      <c r="I669" s="1044"/>
      <c r="J669" s="1044"/>
      <c r="K669" s="1044"/>
      <c r="L669" s="1044"/>
      <c r="M669" s="1044"/>
    </row>
    <row r="670" spans="1:13" ht="12.75" x14ac:dyDescent="0.2">
      <c r="A670" s="693">
        <v>666</v>
      </c>
      <c r="B670" s="383" t="str">
        <f t="shared" si="11"/>
        <v>Electric arc furnace</v>
      </c>
      <c r="C670" s="383" t="s">
        <v>3653</v>
      </c>
      <c r="D670" s="1044"/>
      <c r="E670" s="1044"/>
      <c r="F670" s="1044"/>
      <c r="G670" s="1044"/>
      <c r="H670" s="1044"/>
      <c r="I670" s="1044"/>
      <c r="J670" s="1044"/>
      <c r="K670" s="1044"/>
      <c r="L670" s="1044"/>
      <c r="M670" s="1044"/>
    </row>
    <row r="671" spans="1:13" ht="12.75" x14ac:dyDescent="0.2">
      <c r="A671" s="693">
        <v>667</v>
      </c>
      <c r="B671" s="383" t="str">
        <f t="shared" si="11"/>
        <v>Other production routes</v>
      </c>
      <c r="C671" s="383" t="s">
        <v>3654</v>
      </c>
      <c r="D671" s="1044"/>
      <c r="E671" s="1044"/>
      <c r="F671" s="1044"/>
      <c r="G671" s="1044"/>
      <c r="H671" s="1044"/>
      <c r="I671" s="1044"/>
      <c r="J671" s="1044"/>
      <c r="K671" s="1044"/>
      <c r="L671" s="1044"/>
      <c r="M671" s="1044"/>
    </row>
    <row r="672" spans="1:13" ht="12.75" x14ac:dyDescent="0.2">
      <c r="A672" s="693">
        <v>668</v>
      </c>
      <c r="B672" s="383" t="str">
        <f t="shared" si="11"/>
        <v>Unknown production routes</v>
      </c>
      <c r="C672" s="383" t="s">
        <v>3655</v>
      </c>
      <c r="D672" s="1044"/>
      <c r="E672" s="1044"/>
      <c r="F672" s="1044"/>
      <c r="G672" s="1044"/>
      <c r="H672" s="1044"/>
      <c r="I672" s="1044"/>
      <c r="J672" s="1044"/>
      <c r="K672" s="1044"/>
      <c r="L672" s="1044"/>
      <c r="M672" s="1044"/>
    </row>
    <row r="673" spans="1:13" ht="12.75" x14ac:dyDescent="0.2">
      <c r="A673" s="693">
        <v>669</v>
      </c>
      <c r="B673" s="383" t="str">
        <f t="shared" si="11"/>
        <v>Direct reduced iron</v>
      </c>
      <c r="C673" s="383" t="s">
        <v>3656</v>
      </c>
      <c r="D673" s="1044"/>
      <c r="E673" s="1044"/>
      <c r="F673" s="1044"/>
      <c r="G673" s="1044"/>
      <c r="H673" s="1044"/>
      <c r="I673" s="1044"/>
      <c r="J673" s="1044"/>
      <c r="K673" s="1044"/>
      <c r="L673" s="1044"/>
      <c r="M673" s="1044"/>
    </row>
    <row r="674" spans="1:13" ht="12.75" x14ac:dyDescent="0.2">
      <c r="A674" s="693">
        <v>670</v>
      </c>
      <c r="B674" s="383" t="str">
        <f t="shared" si="11"/>
        <v>Pig iron</v>
      </c>
      <c r="C674" s="383" t="s">
        <v>3657</v>
      </c>
      <c r="D674" s="1044"/>
      <c r="E674" s="1044"/>
      <c r="F674" s="1044"/>
      <c r="G674" s="1044"/>
      <c r="H674" s="1044"/>
      <c r="I674" s="1044"/>
      <c r="J674" s="1044"/>
      <c r="K674" s="1044"/>
      <c r="L674" s="1044"/>
      <c r="M674" s="1044"/>
    </row>
    <row r="675" spans="1:13" ht="12.75" x14ac:dyDescent="0.2">
      <c r="A675" s="693">
        <v>671</v>
      </c>
      <c r="B675" s="383" t="str">
        <f t="shared" si="11"/>
        <v>Blast furnace route</v>
      </c>
      <c r="C675" s="383" t="s">
        <v>3658</v>
      </c>
      <c r="D675" s="1044"/>
      <c r="E675" s="1044"/>
      <c r="F675" s="1044"/>
      <c r="G675" s="1044"/>
      <c r="H675" s="1044"/>
      <c r="I675" s="1044"/>
      <c r="J675" s="1044"/>
      <c r="K675" s="1044"/>
      <c r="L675" s="1044"/>
      <c r="M675" s="1044"/>
    </row>
    <row r="676" spans="1:13" ht="12.75" x14ac:dyDescent="0.2">
      <c r="A676" s="693">
        <v>672</v>
      </c>
      <c r="B676" s="383" t="str">
        <f t="shared" si="11"/>
        <v>Smelting reduction</v>
      </c>
      <c r="C676" s="383" t="s">
        <v>3659</v>
      </c>
      <c r="D676" s="1044"/>
      <c r="E676" s="1044"/>
      <c r="F676" s="1044"/>
      <c r="G676" s="1044"/>
      <c r="H676" s="1044"/>
      <c r="I676" s="1044"/>
      <c r="J676" s="1044"/>
      <c r="K676" s="1044"/>
      <c r="L676" s="1044"/>
      <c r="M676" s="1044"/>
    </row>
    <row r="677" spans="1:13" ht="12.75" x14ac:dyDescent="0.2">
      <c r="A677" s="693">
        <v>673</v>
      </c>
      <c r="B677" s="383" t="str">
        <f t="shared" si="11"/>
        <v>Alloys (FeMn, FeCr, FeNi)</v>
      </c>
      <c r="C677" s="383" t="s">
        <v>3660</v>
      </c>
      <c r="D677" s="1044"/>
      <c r="E677" s="1044"/>
      <c r="F677" s="1044"/>
      <c r="G677" s="1044"/>
      <c r="H677" s="1044"/>
      <c r="I677" s="1044"/>
      <c r="J677" s="1044"/>
      <c r="K677" s="1044"/>
      <c r="L677" s="1044"/>
      <c r="M677" s="1044"/>
    </row>
    <row r="678" spans="1:13" ht="12.75" x14ac:dyDescent="0.2">
      <c r="A678" s="693">
        <v>674</v>
      </c>
      <c r="B678" s="383" t="str">
        <f t="shared" si="11"/>
        <v>Sintered Ore</v>
      </c>
      <c r="C678" s="383" t="s">
        <v>3661</v>
      </c>
      <c r="D678" s="1044"/>
      <c r="E678" s="1044"/>
      <c r="F678" s="1044"/>
      <c r="G678" s="1044"/>
      <c r="H678" s="1044"/>
      <c r="I678" s="1044"/>
      <c r="J678" s="1044"/>
      <c r="K678" s="1044"/>
      <c r="L678" s="1044"/>
      <c r="M678" s="1044"/>
    </row>
    <row r="679" spans="1:13" ht="12.75" x14ac:dyDescent="0.2">
      <c r="A679" s="693">
        <v>675</v>
      </c>
      <c r="B679" s="383" t="str">
        <f t="shared" si="11"/>
        <v>Steam reforming and partial oxidation</v>
      </c>
      <c r="C679" s="383" t="s">
        <v>3662</v>
      </c>
      <c r="D679" s="1044"/>
      <c r="E679" s="1044"/>
      <c r="F679" s="1044"/>
      <c r="G679" s="1044"/>
      <c r="H679" s="1044"/>
      <c r="I679" s="1044"/>
      <c r="J679" s="1044"/>
      <c r="K679" s="1044"/>
      <c r="L679" s="1044"/>
      <c r="M679" s="1044"/>
    </row>
    <row r="680" spans="1:13" ht="12.75" x14ac:dyDescent="0.2">
      <c r="A680" s="693">
        <v>676</v>
      </c>
      <c r="B680" s="383" t="str">
        <f t="shared" si="11"/>
        <v>Electrolysis of water</v>
      </c>
      <c r="C680" s="383" t="s">
        <v>3663</v>
      </c>
      <c r="D680" s="1044"/>
      <c r="E680" s="1044"/>
      <c r="F680" s="1044"/>
      <c r="G680" s="1044"/>
      <c r="H680" s="1044"/>
      <c r="I680" s="1044"/>
      <c r="J680" s="1044"/>
      <c r="K680" s="1044"/>
      <c r="L680" s="1044"/>
      <c r="M680" s="1044"/>
    </row>
    <row r="681" spans="1:13" ht="12.75" x14ac:dyDescent="0.2">
      <c r="A681" s="693">
        <v>677</v>
      </c>
      <c r="B681" s="383" t="str">
        <f t="shared" si="11"/>
        <v>Chlor-Alkali electrolysis and production of chlorates</v>
      </c>
      <c r="C681" s="383" t="s">
        <v>3664</v>
      </c>
      <c r="D681" s="1044"/>
      <c r="E681" s="1044"/>
      <c r="F681" s="1044"/>
      <c r="G681" s="1044"/>
      <c r="H681" s="1044"/>
      <c r="I681" s="1044"/>
      <c r="J681" s="1044"/>
      <c r="K681" s="1044"/>
      <c r="L681" s="1044"/>
      <c r="M681" s="1044"/>
    </row>
    <row r="682" spans="1:13" ht="12.75" x14ac:dyDescent="0.2">
      <c r="A682" s="693">
        <v>678</v>
      </c>
      <c r="B682" s="383" t="str">
        <f t="shared" si="11"/>
        <v>Ammonia</v>
      </c>
      <c r="C682" s="383" t="s">
        <v>3665</v>
      </c>
      <c r="D682" s="1044"/>
      <c r="E682" s="1044"/>
      <c r="F682" s="1044"/>
      <c r="G682" s="1044"/>
      <c r="H682" s="1044"/>
      <c r="I682" s="1044"/>
      <c r="J682" s="1044"/>
      <c r="K682" s="1044"/>
      <c r="L682" s="1044"/>
      <c r="M682" s="1044"/>
    </row>
    <row r="683" spans="1:13" ht="12.75" x14ac:dyDescent="0.2">
      <c r="A683" s="693">
        <v>679</v>
      </c>
      <c r="B683" s="383" t="str">
        <f t="shared" si="11"/>
        <v>Haber-Bosch process with steam reforming of natural gas or biogas</v>
      </c>
      <c r="C683" s="383" t="s">
        <v>3666</v>
      </c>
      <c r="D683" s="1044"/>
      <c r="E683" s="1044"/>
      <c r="F683" s="1044"/>
      <c r="G683" s="1044"/>
      <c r="H683" s="1044"/>
      <c r="I683" s="1044"/>
      <c r="J683" s="1044"/>
      <c r="K683" s="1044"/>
      <c r="L683" s="1044"/>
      <c r="M683" s="1044"/>
    </row>
    <row r="684" spans="1:13" ht="12.75" x14ac:dyDescent="0.2">
      <c r="A684" s="693">
        <v>680</v>
      </c>
      <c r="B684" s="383" t="str">
        <f t="shared" si="11"/>
        <v>Haber-Bosch process with gasification of coal or other fuels</v>
      </c>
      <c r="C684" s="383" t="s">
        <v>3667</v>
      </c>
      <c r="D684" s="1044"/>
      <c r="E684" s="1044"/>
      <c r="F684" s="1044"/>
      <c r="G684" s="1044"/>
      <c r="H684" s="1044"/>
      <c r="I684" s="1044"/>
      <c r="J684" s="1044"/>
      <c r="K684" s="1044"/>
      <c r="L684" s="1044"/>
      <c r="M684" s="1044"/>
    </row>
    <row r="685" spans="1:13" ht="12.75" x14ac:dyDescent="0.2">
      <c r="A685" s="693">
        <v>681</v>
      </c>
      <c r="B685" s="383" t="str">
        <f t="shared" si="11"/>
        <v>Nitric acid</v>
      </c>
      <c r="C685" s="383" t="s">
        <v>3668</v>
      </c>
      <c r="D685" s="1044"/>
      <c r="E685" s="1044"/>
      <c r="F685" s="1044"/>
      <c r="G685" s="1044"/>
      <c r="H685" s="1044"/>
      <c r="I685" s="1044"/>
      <c r="J685" s="1044"/>
      <c r="K685" s="1044"/>
      <c r="L685" s="1044"/>
      <c r="M685" s="1044"/>
    </row>
    <row r="686" spans="1:13" ht="12.75" x14ac:dyDescent="0.2">
      <c r="A686" s="693">
        <v>682</v>
      </c>
      <c r="B686" s="383" t="str">
        <f t="shared" si="11"/>
        <v>Urea</v>
      </c>
      <c r="C686" s="383" t="s">
        <v>3669</v>
      </c>
      <c r="D686" s="1044"/>
      <c r="E686" s="1044"/>
      <c r="F686" s="1044"/>
      <c r="G686" s="1044"/>
      <c r="H686" s="1044"/>
      <c r="I686" s="1044"/>
      <c r="J686" s="1044"/>
      <c r="K686" s="1044"/>
      <c r="L686" s="1044"/>
      <c r="M686" s="1044"/>
    </row>
    <row r="687" spans="1:13" ht="12.75" x14ac:dyDescent="0.2">
      <c r="A687" s="693">
        <v>683</v>
      </c>
      <c r="B687" s="383" t="str">
        <f t="shared" si="11"/>
        <v>Mixed fertilizers</v>
      </c>
      <c r="C687" s="383" t="s">
        <v>3670</v>
      </c>
      <c r="D687" s="1044"/>
      <c r="E687" s="1044"/>
      <c r="F687" s="1044"/>
      <c r="G687" s="1044"/>
      <c r="H687" s="1044"/>
      <c r="I687" s="1044"/>
      <c r="J687" s="1044"/>
      <c r="K687" s="1044"/>
      <c r="L687" s="1044"/>
      <c r="M687" s="1044"/>
    </row>
    <row r="688" spans="1:13" ht="12.75" x14ac:dyDescent="0.2">
      <c r="A688" s="693">
        <v>684</v>
      </c>
      <c r="B688" s="383" t="str">
        <f t="shared" si="11"/>
        <v>Aluminium products</v>
      </c>
      <c r="C688" s="383" t="s">
        <v>3671</v>
      </c>
      <c r="D688" s="1044"/>
      <c r="E688" s="1044"/>
      <c r="F688" s="1044"/>
      <c r="G688" s="1044"/>
      <c r="H688" s="1044"/>
      <c r="I688" s="1044"/>
      <c r="J688" s="1044"/>
      <c r="K688" s="1044"/>
      <c r="L688" s="1044"/>
      <c r="M688" s="1044"/>
    </row>
    <row r="689" spans="1:13" ht="12.75" x14ac:dyDescent="0.2">
      <c r="A689" s="693">
        <v>685</v>
      </c>
      <c r="B689" s="383" t="str">
        <f t="shared" si="11"/>
        <v>Unwrought aluminium</v>
      </c>
      <c r="C689" s="383" t="s">
        <v>2893</v>
      </c>
      <c r="D689" s="1044"/>
      <c r="E689" s="1044"/>
      <c r="F689" s="1044"/>
      <c r="G689" s="1044"/>
      <c r="H689" s="1044"/>
      <c r="I689" s="1044"/>
      <c r="J689" s="1044"/>
      <c r="K689" s="1044"/>
      <c r="L689" s="1044"/>
      <c r="M689" s="1044"/>
    </row>
    <row r="690" spans="1:13" ht="12.75" x14ac:dyDescent="0.2">
      <c r="A690" s="693">
        <v>686</v>
      </c>
      <c r="B690" s="383" t="str">
        <f t="shared" si="11"/>
        <v>Primary (electrolytic) smelting</v>
      </c>
      <c r="C690" s="383" t="s">
        <v>3672</v>
      </c>
      <c r="D690" s="1044"/>
      <c r="E690" s="1044"/>
      <c r="F690" s="1044"/>
      <c r="G690" s="1044"/>
      <c r="H690" s="1044"/>
      <c r="I690" s="1044"/>
      <c r="J690" s="1044"/>
      <c r="K690" s="1044"/>
      <c r="L690" s="1044"/>
      <c r="M690" s="1044"/>
    </row>
    <row r="691" spans="1:13" ht="12.75" x14ac:dyDescent="0.2">
      <c r="A691" s="693">
        <v>687</v>
      </c>
      <c r="B691" s="383" t="str">
        <f t="shared" si="11"/>
        <v>Secondary melting (recycling)</v>
      </c>
      <c r="C691" s="383" t="s">
        <v>3673</v>
      </c>
      <c r="D691" s="1044"/>
      <c r="E691" s="1044"/>
      <c r="F691" s="1044"/>
      <c r="G691" s="1044"/>
      <c r="H691" s="1044"/>
      <c r="I691" s="1044"/>
      <c r="J691" s="1044"/>
      <c r="K691" s="1044"/>
      <c r="L691" s="1044"/>
      <c r="M691" s="1044"/>
    </row>
    <row r="692" spans="1:13" ht="12.75" x14ac:dyDescent="0.2">
      <c r="A692" s="693">
        <v>688</v>
      </c>
      <c r="B692" s="383" t="str">
        <f t="shared" si="11"/>
        <v>Electricity (export to EU)</v>
      </c>
      <c r="C692" s="383" t="s">
        <v>3674</v>
      </c>
      <c r="D692" s="1044"/>
      <c r="E692" s="1044"/>
      <c r="F692" s="1044"/>
      <c r="G692" s="1044"/>
      <c r="H692" s="1044"/>
      <c r="I692" s="1044"/>
      <c r="J692" s="1044"/>
      <c r="K692" s="1044"/>
      <c r="L692" s="1044"/>
      <c r="M692" s="1044"/>
    </row>
    <row r="693" spans="1:13" ht="12.75" x14ac:dyDescent="0.2">
      <c r="A693" s="693">
        <v>689</v>
      </c>
      <c r="B693" s="383" t="str">
        <f t="shared" si="11"/>
        <v>The main reducing agent used</v>
      </c>
      <c r="C693" s="383" t="s">
        <v>3675</v>
      </c>
      <c r="D693" s="1044"/>
      <c r="E693" s="1044"/>
      <c r="F693" s="1044"/>
      <c r="G693" s="1044"/>
      <c r="H693" s="1044"/>
      <c r="I693" s="1044"/>
      <c r="J693" s="1044"/>
      <c r="K693" s="1044"/>
      <c r="L693" s="1044"/>
      <c r="M693" s="1044"/>
    </row>
    <row r="694" spans="1:13" x14ac:dyDescent="0.2">
      <c r="A694" s="693">
        <v>690</v>
      </c>
      <c r="B694" s="749" t="str">
        <f t="shared" si="11"/>
        <v>Kaolinic clays (other than kaolin)</v>
      </c>
      <c r="C694" s="749" t="s">
        <v>1553</v>
      </c>
      <c r="D694" s="1045"/>
      <c r="E694" s="1045"/>
      <c r="F694" s="1045"/>
      <c r="G694" s="1045"/>
      <c r="H694" s="1045"/>
      <c r="I694" s="1045"/>
      <c r="J694" s="1045"/>
      <c r="K694" s="1045"/>
      <c r="L694" s="1045"/>
      <c r="M694" s="1045"/>
    </row>
    <row r="695" spans="1:13" x14ac:dyDescent="0.2">
      <c r="A695" s="693">
        <v>691</v>
      </c>
      <c r="B695" s="749" t="str">
        <f t="shared" si="11"/>
        <v>Cement clinkers</v>
      </c>
      <c r="C695" s="749" t="s">
        <v>1555</v>
      </c>
      <c r="D695" s="1045"/>
      <c r="E695" s="1045"/>
      <c r="F695" s="1045"/>
      <c r="G695" s="1045"/>
      <c r="H695" s="1045"/>
      <c r="I695" s="1045"/>
      <c r="J695" s="1045"/>
      <c r="K695" s="1045"/>
      <c r="L695" s="1045"/>
      <c r="M695" s="1045"/>
    </row>
    <row r="696" spans="1:13" x14ac:dyDescent="0.2">
      <c r="A696" s="693">
        <v>692</v>
      </c>
      <c r="B696" s="749" t="str">
        <f t="shared" si="11"/>
        <v>White portland cement, whether or not artificially coloured</v>
      </c>
      <c r="C696" s="749" t="s">
        <v>1557</v>
      </c>
      <c r="D696" s="1045"/>
      <c r="E696" s="1045"/>
      <c r="F696" s="1045"/>
      <c r="G696" s="1045"/>
      <c r="H696" s="1045"/>
      <c r="I696" s="1045"/>
      <c r="J696" s="1045"/>
      <c r="K696" s="1045"/>
      <c r="L696" s="1045"/>
      <c r="M696" s="1045"/>
    </row>
    <row r="697" spans="1:13" x14ac:dyDescent="0.2">
      <c r="A697" s="693">
        <v>693</v>
      </c>
      <c r="B697" s="749" t="str">
        <f t="shared" si="11"/>
        <v>Portland cement (excl. white, whether or not artificially coloured)</v>
      </c>
      <c r="C697" s="749" t="s">
        <v>1559</v>
      </c>
      <c r="D697" s="1045"/>
      <c r="E697" s="1045"/>
      <c r="F697" s="1045"/>
      <c r="G697" s="1045"/>
      <c r="H697" s="1045"/>
      <c r="I697" s="1045"/>
      <c r="J697" s="1045"/>
      <c r="K697" s="1045"/>
      <c r="L697" s="1045"/>
      <c r="M697" s="1045"/>
    </row>
    <row r="698" spans="1:13" x14ac:dyDescent="0.2">
      <c r="A698" s="693">
        <v>694</v>
      </c>
      <c r="B698" s="749" t="str">
        <f t="shared" si="11"/>
        <v>Cement, whether or not coloured (excl. portland cement and aluminous cement)</v>
      </c>
      <c r="C698" s="749" t="s">
        <v>1563</v>
      </c>
      <c r="D698" s="1045"/>
      <c r="E698" s="1045"/>
      <c r="F698" s="1045"/>
      <c r="G698" s="1045"/>
      <c r="H698" s="1045"/>
      <c r="I698" s="1045"/>
      <c r="J698" s="1045"/>
      <c r="K698" s="1045"/>
      <c r="L698" s="1045"/>
      <c r="M698" s="1045"/>
    </row>
    <row r="699" spans="1:13" x14ac:dyDescent="0.2">
      <c r="A699" s="693">
        <v>695</v>
      </c>
      <c r="B699" s="749" t="str">
        <f t="shared" si="11"/>
        <v>Agglomerated iron ores and concentrates (excl. roasted iron pyrites)</v>
      </c>
      <c r="C699" s="749" t="s">
        <v>1565</v>
      </c>
      <c r="D699" s="1045"/>
      <c r="E699" s="1045"/>
      <c r="F699" s="1045"/>
      <c r="G699" s="1045"/>
      <c r="H699" s="1045"/>
      <c r="I699" s="1045"/>
      <c r="J699" s="1045"/>
      <c r="K699" s="1045"/>
      <c r="L699" s="1045"/>
      <c r="M699" s="1045"/>
    </row>
    <row r="700" spans="1:13" x14ac:dyDescent="0.2">
      <c r="A700" s="693">
        <v>696</v>
      </c>
      <c r="B700" s="749" t="str">
        <f t="shared" si="11"/>
        <v>Electrical energy</v>
      </c>
      <c r="C700" s="749" t="s">
        <v>1567</v>
      </c>
      <c r="D700" s="1045"/>
      <c r="E700" s="1045"/>
      <c r="F700" s="1045"/>
      <c r="G700" s="1045"/>
      <c r="H700" s="1045"/>
      <c r="I700" s="1045"/>
      <c r="J700" s="1045"/>
      <c r="K700" s="1045"/>
      <c r="L700" s="1045"/>
      <c r="M700" s="1045"/>
    </row>
    <row r="701" spans="1:13" x14ac:dyDescent="0.2">
      <c r="A701" s="693">
        <v>697</v>
      </c>
      <c r="B701" s="749" t="str">
        <f t="shared" si="11"/>
        <v>Nitric acid; sulphonitric acids</v>
      </c>
      <c r="C701" s="749" t="s">
        <v>1571</v>
      </c>
      <c r="D701" s="1045"/>
      <c r="E701" s="1045"/>
      <c r="F701" s="1045"/>
      <c r="G701" s="1045"/>
      <c r="H701" s="1045"/>
      <c r="I701" s="1045"/>
      <c r="J701" s="1045"/>
      <c r="K701" s="1045"/>
      <c r="L701" s="1045"/>
      <c r="M701" s="1045"/>
    </row>
    <row r="702" spans="1:13" x14ac:dyDescent="0.2">
      <c r="A702" s="693">
        <v>698</v>
      </c>
      <c r="B702" s="749" t="str">
        <f t="shared" si="11"/>
        <v>Ammonia, anhydrous or in aqueous solution</v>
      </c>
      <c r="C702" s="749" t="s">
        <v>1573</v>
      </c>
      <c r="D702" s="1045"/>
      <c r="E702" s="1045"/>
      <c r="F702" s="1045"/>
      <c r="G702" s="1045"/>
      <c r="H702" s="1045"/>
      <c r="I702" s="1045"/>
      <c r="J702" s="1045"/>
      <c r="K702" s="1045"/>
      <c r="L702" s="1045"/>
      <c r="M702" s="1045"/>
    </row>
    <row r="703" spans="1:13" x14ac:dyDescent="0.2">
      <c r="A703" s="693">
        <v>699</v>
      </c>
      <c r="B703" s="749" t="str">
        <f t="shared" si="11"/>
        <v>Anhydrous ammonia</v>
      </c>
      <c r="C703" s="749" t="s">
        <v>1575</v>
      </c>
      <c r="D703" s="1045"/>
      <c r="E703" s="1045"/>
      <c r="F703" s="1045"/>
      <c r="G703" s="1045"/>
      <c r="H703" s="1045"/>
      <c r="I703" s="1045"/>
      <c r="J703" s="1045"/>
      <c r="K703" s="1045"/>
      <c r="L703" s="1045"/>
      <c r="M703" s="1045"/>
    </row>
    <row r="704" spans="1:13" x14ac:dyDescent="0.2">
      <c r="A704" s="693">
        <v>700</v>
      </c>
      <c r="B704" s="749" t="str">
        <f t="shared" si="11"/>
        <v>Ammonia in aqueous solution</v>
      </c>
      <c r="C704" s="749" t="s">
        <v>1577</v>
      </c>
      <c r="D704" s="1045"/>
      <c r="E704" s="1045"/>
      <c r="F704" s="1045"/>
      <c r="G704" s="1045"/>
      <c r="H704" s="1045"/>
      <c r="I704" s="1045"/>
      <c r="J704" s="1045"/>
      <c r="K704" s="1045"/>
      <c r="L704" s="1045"/>
      <c r="M704" s="1045"/>
    </row>
    <row r="705" spans="1:13" x14ac:dyDescent="0.2">
      <c r="A705" s="693">
        <v>701</v>
      </c>
      <c r="B705" s="749" t="str">
        <f t="shared" si="11"/>
        <v>Nitrate of potassium</v>
      </c>
      <c r="C705" s="749" t="s">
        <v>1579</v>
      </c>
      <c r="D705" s="1045"/>
      <c r="E705" s="1045"/>
      <c r="F705" s="1045"/>
      <c r="G705" s="1045"/>
      <c r="H705" s="1045"/>
      <c r="I705" s="1045"/>
      <c r="J705" s="1045"/>
      <c r="K705" s="1045"/>
      <c r="L705" s="1045"/>
      <c r="M705" s="1045"/>
    </row>
    <row r="706" spans="1:13" x14ac:dyDescent="0.2">
      <c r="A706" s="693">
        <v>702</v>
      </c>
      <c r="B706" s="749" t="str">
        <f t="shared" si="11"/>
        <v>Mineral or chemical nitrogenous fertilisers (excl. those in tablets or similar forms, or in packages with a gross weight of &lt;= 10 kg)</v>
      </c>
      <c r="C706" s="749" t="s">
        <v>1581</v>
      </c>
      <c r="D706" s="1045"/>
      <c r="E706" s="1045"/>
      <c r="F706" s="1045"/>
      <c r="G706" s="1045"/>
      <c r="H706" s="1045"/>
      <c r="I706" s="1045"/>
      <c r="J706" s="1045"/>
      <c r="K706" s="1045"/>
      <c r="L706" s="1045"/>
      <c r="M706" s="1045"/>
    </row>
    <row r="707" spans="1:13" x14ac:dyDescent="0.2">
      <c r="A707" s="693">
        <v>703</v>
      </c>
      <c r="B707" s="749" t="str">
        <f t="shared" si="11"/>
        <v>Urea, whether or not in aqueous solution (excl. that in tablets or similar forms, or in packages with a gross weight of &lt;= 10 kg)</v>
      </c>
      <c r="C707" s="749" t="s">
        <v>1583</v>
      </c>
      <c r="D707" s="1045"/>
      <c r="E707" s="1045"/>
      <c r="F707" s="1045"/>
      <c r="G707" s="1045"/>
      <c r="H707" s="1045"/>
      <c r="I707" s="1045"/>
      <c r="J707" s="1045"/>
      <c r="K707" s="1045"/>
      <c r="L707" s="1045"/>
      <c r="M707" s="1045"/>
    </row>
    <row r="708" spans="1:13" x14ac:dyDescent="0.2">
      <c r="A708" s="693">
        <v>704</v>
      </c>
      <c r="B708" s="749" t="str">
        <f t="shared" si="11"/>
        <v>Urea, whether or not in aqueous solution, containing &gt; 45% nitrogen in relation to the weight of the dry product (excl. that in tablets or similar forms, or in packages with a gross weight of &lt;= 10 kg)</v>
      </c>
      <c r="C708" s="749" t="s">
        <v>1585</v>
      </c>
      <c r="D708" s="1045"/>
      <c r="E708" s="1045"/>
      <c r="F708" s="1045"/>
      <c r="G708" s="1045"/>
      <c r="H708" s="1045"/>
      <c r="I708" s="1045"/>
      <c r="J708" s="1045"/>
      <c r="K708" s="1045"/>
      <c r="L708" s="1045"/>
      <c r="M708" s="1045"/>
    </row>
    <row r="709" spans="1:13" x14ac:dyDescent="0.2">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1587</v>
      </c>
      <c r="D709" s="1045"/>
      <c r="E709" s="1045"/>
      <c r="F709" s="1045"/>
      <c r="G709" s="1045"/>
      <c r="H709" s="1045"/>
      <c r="I709" s="1045"/>
      <c r="J709" s="1045"/>
      <c r="K709" s="1045"/>
      <c r="L709" s="1045"/>
      <c r="M709" s="1045"/>
    </row>
    <row r="710" spans="1:13" x14ac:dyDescent="0.2">
      <c r="A710" s="693">
        <v>706</v>
      </c>
      <c r="B710" s="749" t="str">
        <f t="shared" si="11"/>
        <v>Ammonium sulphate (excl. that in tablets or similar forms, or in packages with a gross weight of &lt;= 10 kg)</v>
      </c>
      <c r="C710" s="749" t="s">
        <v>1589</v>
      </c>
      <c r="D710" s="1045"/>
      <c r="E710" s="1045"/>
      <c r="F710" s="1045"/>
      <c r="G710" s="1045"/>
      <c r="H710" s="1045"/>
      <c r="I710" s="1045"/>
      <c r="J710" s="1045"/>
      <c r="K710" s="1045"/>
      <c r="L710" s="1045"/>
      <c r="M710" s="1045"/>
    </row>
    <row r="711" spans="1:13" x14ac:dyDescent="0.2">
      <c r="A711" s="693">
        <v>707</v>
      </c>
      <c r="B711" s="749" t="str">
        <f t="shared" si="11"/>
        <v>Double salts and mixtures of ammonium sulphate and ammonium nitrate (excl. goods of this chapter in tablets or similar forms or in packages of a gross weight of &lt;= 10 kg)</v>
      </c>
      <c r="C711" s="749" t="s">
        <v>1591</v>
      </c>
      <c r="D711" s="1045"/>
      <c r="E711" s="1045"/>
      <c r="F711" s="1045"/>
      <c r="G711" s="1045"/>
      <c r="H711" s="1045"/>
      <c r="I711" s="1045"/>
      <c r="J711" s="1045"/>
      <c r="K711" s="1045"/>
      <c r="L711" s="1045"/>
      <c r="M711" s="1045"/>
    </row>
    <row r="712" spans="1:13" x14ac:dyDescent="0.2">
      <c r="A712" s="693">
        <v>708</v>
      </c>
      <c r="B712" s="749" t="str">
        <f t="shared" si="11"/>
        <v>Ammonium nitrate, whether or not in aqueous solution (excl. that in tablets or similar forms, or in packages with a gross weight of &lt;= 10 kg)</v>
      </c>
      <c r="C712" s="749" t="s">
        <v>1593</v>
      </c>
      <c r="D712" s="1045"/>
      <c r="E712" s="1045"/>
      <c r="F712" s="1045"/>
      <c r="G712" s="1045"/>
      <c r="H712" s="1045"/>
      <c r="I712" s="1045"/>
      <c r="J712" s="1045"/>
      <c r="K712" s="1045"/>
      <c r="L712" s="1045"/>
      <c r="M712" s="1045"/>
    </row>
    <row r="713" spans="1:13" x14ac:dyDescent="0.2">
      <c r="A713" s="693">
        <v>709</v>
      </c>
      <c r="B713" s="749" t="str">
        <f t="shared" si="11"/>
        <v>Ammonium nitrate in aqueous solution (excl. that in packages with a gross weight of &lt;= 10 kg)</v>
      </c>
      <c r="C713" s="749" t="s">
        <v>1595</v>
      </c>
      <c r="D713" s="1045"/>
      <c r="E713" s="1045"/>
      <c r="F713" s="1045"/>
      <c r="G713" s="1045"/>
      <c r="H713" s="1045"/>
      <c r="I713" s="1045"/>
      <c r="J713" s="1045"/>
      <c r="K713" s="1045"/>
      <c r="L713" s="1045"/>
      <c r="M713" s="1045"/>
    </row>
    <row r="714" spans="1:13" x14ac:dyDescent="0.2">
      <c r="A714" s="693">
        <v>710</v>
      </c>
      <c r="B714" s="749" t="str">
        <f t="shared" si="11"/>
        <v>Ammonium nitrate (excl. that in aqueous solution, in tablets or similar forms, or in packages with a gross weight of &lt;= 10 kg)</v>
      </c>
      <c r="C714" s="749" t="s">
        <v>1597</v>
      </c>
      <c r="D714" s="1045"/>
      <c r="E714" s="1045"/>
      <c r="F714" s="1045"/>
      <c r="G714" s="1045"/>
      <c r="H714" s="1045"/>
      <c r="I714" s="1045"/>
      <c r="J714" s="1045"/>
      <c r="K714" s="1045"/>
      <c r="L714" s="1045"/>
      <c r="M714" s="1045"/>
    </row>
    <row r="715" spans="1:13" x14ac:dyDescent="0.2">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1599</v>
      </c>
      <c r="D715" s="1045"/>
      <c r="E715" s="1045"/>
      <c r="F715" s="1045"/>
      <c r="G715" s="1045"/>
      <c r="H715" s="1045"/>
      <c r="I715" s="1045"/>
      <c r="J715" s="1045"/>
      <c r="K715" s="1045"/>
      <c r="L715" s="1045"/>
      <c r="M715" s="1045"/>
    </row>
    <row r="716" spans="1:13" x14ac:dyDescent="0.2">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1601</v>
      </c>
      <c r="D716" s="1045"/>
      <c r="E716" s="1045"/>
      <c r="F716" s="1045"/>
      <c r="G716" s="1045"/>
      <c r="H716" s="1045"/>
      <c r="I716" s="1045"/>
      <c r="J716" s="1045"/>
      <c r="K716" s="1045"/>
      <c r="L716" s="1045"/>
      <c r="M716" s="1045"/>
    </row>
    <row r="717" spans="1:13" x14ac:dyDescent="0.2">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1603</v>
      </c>
      <c r="D717" s="1045"/>
      <c r="E717" s="1045"/>
      <c r="F717" s="1045"/>
      <c r="G717" s="1045"/>
      <c r="H717" s="1045"/>
      <c r="I717" s="1045"/>
      <c r="J717" s="1045"/>
      <c r="K717" s="1045"/>
      <c r="L717" s="1045"/>
      <c r="M717" s="1045"/>
    </row>
    <row r="718" spans="1:13" x14ac:dyDescent="0.2">
      <c r="A718" s="693">
        <v>714</v>
      </c>
      <c r="B718" s="749" t="str">
        <f t="shared" si="12"/>
        <v>Sodium nitrate (excl. that in tablets or similar forms, or in packages with a gross weight of &lt;= 10 kg)</v>
      </c>
      <c r="C718" s="749" t="s">
        <v>1605</v>
      </c>
      <c r="D718" s="1045"/>
      <c r="E718" s="1045"/>
      <c r="F718" s="1045"/>
      <c r="G718" s="1045"/>
      <c r="H718" s="1045"/>
      <c r="I718" s="1045"/>
      <c r="J718" s="1045"/>
      <c r="K718" s="1045"/>
      <c r="L718" s="1045"/>
      <c r="M718" s="1045"/>
    </row>
    <row r="719" spans="1:13" x14ac:dyDescent="0.2">
      <c r="A719" s="693">
        <v>715</v>
      </c>
      <c r="B719" s="749" t="str">
        <f t="shared" si="12"/>
        <v>Double salts and mixtures of calcium nitrate and ammonium nitrate (excl. those in tablets or similar forms, or in packages with a gross weight of &lt;= 10 kg)</v>
      </c>
      <c r="C719" s="749" t="s">
        <v>1607</v>
      </c>
      <c r="D719" s="1045"/>
      <c r="E719" s="1045"/>
      <c r="F719" s="1045"/>
      <c r="G719" s="1045"/>
      <c r="H719" s="1045"/>
      <c r="I719" s="1045"/>
      <c r="J719" s="1045"/>
      <c r="K719" s="1045"/>
      <c r="L719" s="1045"/>
      <c r="M719" s="1045"/>
    </row>
    <row r="720" spans="1:13" x14ac:dyDescent="0.2">
      <c r="A720" s="693">
        <v>716</v>
      </c>
      <c r="B720" s="749" t="str">
        <f t="shared" si="12"/>
        <v>Mixtures of urea and ammonium nitrate in aqueous or ammoniacal solution (excl. those in packages with a gross weight of &lt;= 10 kg)</v>
      </c>
      <c r="C720" s="749" t="s">
        <v>1609</v>
      </c>
      <c r="D720" s="1045"/>
      <c r="E720" s="1045"/>
      <c r="F720" s="1045"/>
      <c r="G720" s="1045"/>
      <c r="H720" s="1045"/>
      <c r="I720" s="1045"/>
      <c r="J720" s="1045"/>
      <c r="K720" s="1045"/>
      <c r="L720" s="1045"/>
      <c r="M720" s="1045"/>
    </row>
    <row r="721" spans="1:13" x14ac:dyDescent="0.2">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1611</v>
      </c>
      <c r="D721" s="1045"/>
      <c r="E721" s="1045"/>
      <c r="F721" s="1045"/>
      <c r="G721" s="1045"/>
      <c r="H721" s="1045"/>
      <c r="I721" s="1045"/>
      <c r="J721" s="1045"/>
      <c r="K721" s="1045"/>
      <c r="L721" s="1045"/>
      <c r="M721" s="1045"/>
    </row>
    <row r="722" spans="1:13" x14ac:dyDescent="0.2">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1613</v>
      </c>
      <c r="D722" s="1045"/>
      <c r="E722" s="1045"/>
      <c r="F722" s="1045"/>
      <c r="G722" s="1045"/>
      <c r="H722" s="1045"/>
      <c r="I722" s="1045"/>
      <c r="J722" s="1045"/>
      <c r="K722" s="1045"/>
      <c r="L722" s="1045"/>
      <c r="M722" s="1045"/>
    </row>
    <row r="723" spans="1:13" x14ac:dyDescent="0.2">
      <c r="A723" s="693">
        <v>719</v>
      </c>
      <c r="B723" s="749" t="str">
        <f t="shared" si="12"/>
        <v>Mineral or chemical fertilisers of animal or vegetable origin, in tablets or similar forms, or in packages with a gross weight of &lt;= 10 kg</v>
      </c>
      <c r="C723" s="749" t="s">
        <v>1615</v>
      </c>
      <c r="D723" s="1045"/>
      <c r="E723" s="1045"/>
      <c r="F723" s="1045"/>
      <c r="G723" s="1045"/>
      <c r="H723" s="1045"/>
      <c r="I723" s="1045"/>
      <c r="J723" s="1045"/>
      <c r="K723" s="1045"/>
      <c r="L723" s="1045"/>
      <c r="M723" s="1045"/>
    </row>
    <row r="724" spans="1:13" x14ac:dyDescent="0.2">
      <c r="A724" s="693">
        <v>720</v>
      </c>
      <c r="B724" s="749" t="str">
        <f t="shared" si="12"/>
        <v>Mineral or chemical fertilisers containing the three fertilising elements nitrogen, phosphorus and potassium (excl. those in tablets or similar forms, or in packages with a gross weight of &lt;= 10 kg)</v>
      </c>
      <c r="C724" s="749" t="s">
        <v>1617</v>
      </c>
      <c r="D724" s="1045"/>
      <c r="E724" s="1045"/>
      <c r="F724" s="1045"/>
      <c r="G724" s="1045"/>
      <c r="H724" s="1045"/>
      <c r="I724" s="1045"/>
      <c r="J724" s="1045"/>
      <c r="K724" s="1045"/>
      <c r="L724" s="1045"/>
      <c r="M724" s="1045"/>
    </row>
    <row r="725" spans="1:13" x14ac:dyDescent="0.2">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1619</v>
      </c>
      <c r="D725" s="1045"/>
      <c r="E725" s="1045"/>
      <c r="F725" s="1045"/>
      <c r="G725" s="1045"/>
      <c r="H725" s="1045"/>
      <c r="I725" s="1045"/>
      <c r="J725" s="1045"/>
      <c r="K725" s="1045"/>
      <c r="L725" s="1045"/>
      <c r="M725" s="1045"/>
    </row>
    <row r="726" spans="1:13" x14ac:dyDescent="0.2">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1621</v>
      </c>
      <c r="D726" s="1045"/>
      <c r="E726" s="1045"/>
      <c r="F726" s="1045"/>
      <c r="G726" s="1045"/>
      <c r="H726" s="1045"/>
      <c r="I726" s="1045"/>
      <c r="J726" s="1045"/>
      <c r="K726" s="1045"/>
      <c r="L726" s="1045"/>
      <c r="M726" s="1045"/>
    </row>
    <row r="727" spans="1:13" x14ac:dyDescent="0.2">
      <c r="A727" s="693">
        <v>723</v>
      </c>
      <c r="B727" s="749" t="str">
        <f t="shared" si="12"/>
        <v>Diammonium hydrogenorthophosphate "diammonium phosphate" (excl. that in tablets or similar forms, or in packages with a gross weight of &lt;= 10 kg)</v>
      </c>
      <c r="C727" s="749" t="s">
        <v>1623</v>
      </c>
      <c r="D727" s="1045"/>
      <c r="E727" s="1045"/>
      <c r="F727" s="1045"/>
      <c r="G727" s="1045"/>
      <c r="H727" s="1045"/>
      <c r="I727" s="1045"/>
      <c r="J727" s="1045"/>
      <c r="K727" s="1045"/>
      <c r="L727" s="1045"/>
      <c r="M727" s="1045"/>
    </row>
    <row r="728" spans="1:13" x14ac:dyDescent="0.2">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1625</v>
      </c>
      <c r="D728" s="1045"/>
      <c r="E728" s="1045"/>
      <c r="F728" s="1045"/>
      <c r="G728" s="1045"/>
      <c r="H728" s="1045"/>
      <c r="I728" s="1045"/>
      <c r="J728" s="1045"/>
      <c r="K728" s="1045"/>
      <c r="L728" s="1045"/>
      <c r="M728" s="1045"/>
    </row>
    <row r="729" spans="1:13" x14ac:dyDescent="0.2">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1627</v>
      </c>
      <c r="D729" s="1045"/>
      <c r="E729" s="1045"/>
      <c r="F729" s="1045"/>
      <c r="G729" s="1045"/>
      <c r="H729" s="1045"/>
      <c r="I729" s="1045"/>
      <c r="J729" s="1045"/>
      <c r="K729" s="1045"/>
      <c r="L729" s="1045"/>
      <c r="M729" s="1045"/>
    </row>
    <row r="730" spans="1:13" x14ac:dyDescent="0.2">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1629</v>
      </c>
      <c r="D730" s="1045"/>
      <c r="E730" s="1045"/>
      <c r="F730" s="1045"/>
      <c r="G730" s="1045"/>
      <c r="H730" s="1045"/>
      <c r="I730" s="1045"/>
      <c r="J730" s="1045"/>
      <c r="K730" s="1045"/>
      <c r="L730" s="1045"/>
      <c r="M730" s="1045"/>
    </row>
    <row r="731" spans="1:13" x14ac:dyDescent="0.2">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1631</v>
      </c>
      <c r="D731" s="1045"/>
      <c r="E731" s="1045"/>
      <c r="F731" s="1045"/>
      <c r="G731" s="1045"/>
      <c r="H731" s="1045"/>
      <c r="I731" s="1045"/>
      <c r="J731" s="1045"/>
      <c r="K731" s="1045"/>
      <c r="L731" s="1045"/>
      <c r="M731" s="1045"/>
    </row>
    <row r="732" spans="1:13" x14ac:dyDescent="0.2">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1633</v>
      </c>
      <c r="D732" s="1045"/>
      <c r="E732" s="1045"/>
      <c r="F732" s="1045"/>
      <c r="G732" s="1045"/>
      <c r="H732" s="1045"/>
      <c r="I732" s="1045"/>
      <c r="J732" s="1045"/>
      <c r="K732" s="1045"/>
      <c r="L732" s="1045"/>
      <c r="M732" s="1045"/>
    </row>
    <row r="733" spans="1:13" x14ac:dyDescent="0.2">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1635</v>
      </c>
      <c r="D733" s="1045"/>
      <c r="E733" s="1045"/>
      <c r="F733" s="1045"/>
      <c r="G733" s="1045"/>
      <c r="H733" s="1045"/>
      <c r="I733" s="1045"/>
      <c r="J733" s="1045"/>
      <c r="K733" s="1045"/>
      <c r="L733" s="1045"/>
      <c r="M733" s="1045"/>
    </row>
    <row r="734" spans="1:13" x14ac:dyDescent="0.2">
      <c r="A734" s="693">
        <v>730</v>
      </c>
      <c r="B734" s="749" t="str">
        <f t="shared" si="12"/>
        <v>Pig iron and spiegeleisen, in pigs, blocks or other primary forms</v>
      </c>
      <c r="C734" s="749" t="s">
        <v>1637</v>
      </c>
      <c r="D734" s="1045"/>
      <c r="E734" s="1045"/>
      <c r="F734" s="1045"/>
      <c r="G734" s="1045"/>
      <c r="H734" s="1045"/>
      <c r="I734" s="1045"/>
      <c r="J734" s="1045"/>
      <c r="K734" s="1045"/>
      <c r="L734" s="1045"/>
      <c r="M734" s="1045"/>
    </row>
    <row r="735" spans="1:13" x14ac:dyDescent="0.2">
      <c r="A735" s="693">
        <v>731</v>
      </c>
      <c r="B735" s="749" t="str">
        <f t="shared" si="12"/>
        <v>Non-alloy pig iron in pigs, blocks or other primary forms, containing, by weight, &lt;= 0,5% of phosphorous</v>
      </c>
      <c r="C735" s="749" t="s">
        <v>1639</v>
      </c>
      <c r="D735" s="1045"/>
      <c r="E735" s="1045"/>
      <c r="F735" s="1045"/>
      <c r="G735" s="1045"/>
      <c r="H735" s="1045"/>
      <c r="I735" s="1045"/>
      <c r="J735" s="1045"/>
      <c r="K735" s="1045"/>
      <c r="L735" s="1045"/>
      <c r="M735" s="1045"/>
    </row>
    <row r="736" spans="1:13" x14ac:dyDescent="0.2">
      <c r="A736" s="693">
        <v>732</v>
      </c>
      <c r="B736" s="749" t="str">
        <f t="shared" si="12"/>
        <v>Non-alloy pig iron in pigs, blocks or other primary forms, containing by weight &lt;= 0,5% phosphorus, &gt;= 0,4% manganese and &lt;= 1% silicon</v>
      </c>
      <c r="C736" s="749" t="s">
        <v>1641</v>
      </c>
      <c r="D736" s="1045"/>
      <c r="E736" s="1045"/>
      <c r="F736" s="1045"/>
      <c r="G736" s="1045"/>
      <c r="H736" s="1045"/>
      <c r="I736" s="1045"/>
      <c r="J736" s="1045"/>
      <c r="K736" s="1045"/>
      <c r="L736" s="1045"/>
      <c r="M736" s="1045"/>
    </row>
    <row r="737" spans="1:13" x14ac:dyDescent="0.2">
      <c r="A737" s="693">
        <v>733</v>
      </c>
      <c r="B737" s="749" t="str">
        <f t="shared" si="12"/>
        <v>Non-alloy pig iron in pigs, blocks or other primary forms, containing by weight &lt;= 0,5% phosphorus, &gt;= 0,4% manganese and &gt; 1% silicon</v>
      </c>
      <c r="C737" s="749" t="s">
        <v>1643</v>
      </c>
      <c r="D737" s="1045"/>
      <c r="E737" s="1045"/>
      <c r="F737" s="1045"/>
      <c r="G737" s="1045"/>
      <c r="H737" s="1045"/>
      <c r="I737" s="1045"/>
      <c r="J737" s="1045"/>
      <c r="K737" s="1045"/>
      <c r="L737" s="1045"/>
      <c r="M737" s="1045"/>
    </row>
    <row r="738" spans="1:13" x14ac:dyDescent="0.2">
      <c r="A738" s="693">
        <v>734</v>
      </c>
      <c r="B738" s="749" t="str">
        <f t="shared" si="12"/>
        <v>Non-alloy pig iron in pigs, blocks or other primary forms, containing by weight &lt;= 0,5% phosphorus, and &gt;= 0,1% but &lt; 0,4% manganese</v>
      </c>
      <c r="C738" s="749" t="s">
        <v>1645</v>
      </c>
      <c r="D738" s="1045"/>
      <c r="E738" s="1045"/>
      <c r="F738" s="1045"/>
      <c r="G738" s="1045"/>
      <c r="H738" s="1045"/>
      <c r="I738" s="1045"/>
      <c r="J738" s="1045"/>
      <c r="K738" s="1045"/>
      <c r="L738" s="1045"/>
      <c r="M738" s="1045"/>
    </row>
    <row r="739" spans="1:13" x14ac:dyDescent="0.2">
      <c r="A739" s="693">
        <v>735</v>
      </c>
      <c r="B739" s="749" t="str">
        <f t="shared" si="12"/>
        <v>Non-alloy pig iron in pigs, blocks or other primary forms, containing by weight &lt;= 0,5% phosphorus, and &lt;= 0,1% manganese</v>
      </c>
      <c r="C739" s="749" t="s">
        <v>1647</v>
      </c>
      <c r="D739" s="1045"/>
      <c r="E739" s="1045"/>
      <c r="F739" s="1045"/>
      <c r="G739" s="1045"/>
      <c r="H739" s="1045"/>
      <c r="I739" s="1045"/>
      <c r="J739" s="1045"/>
      <c r="K739" s="1045"/>
      <c r="L739" s="1045"/>
      <c r="M739" s="1045"/>
    </row>
    <row r="740" spans="1:13" x14ac:dyDescent="0.2">
      <c r="A740" s="693">
        <v>736</v>
      </c>
      <c r="B740" s="749" t="str">
        <f t="shared" si="12"/>
        <v>Non-alloy pig iron in pigs, blocks or other primary forms, containing by weight &gt;= 0,5% phosphorus</v>
      </c>
      <c r="C740" s="749" t="s">
        <v>1649</v>
      </c>
      <c r="D740" s="1045"/>
      <c r="E740" s="1045"/>
      <c r="F740" s="1045"/>
      <c r="G740" s="1045"/>
      <c r="H740" s="1045"/>
      <c r="I740" s="1045"/>
      <c r="J740" s="1045"/>
      <c r="K740" s="1045"/>
      <c r="L740" s="1045"/>
      <c r="M740" s="1045"/>
    </row>
    <row r="741" spans="1:13" x14ac:dyDescent="0.2">
      <c r="A741" s="693">
        <v>737</v>
      </c>
      <c r="B741" s="749" t="str">
        <f t="shared" si="12"/>
        <v>Alloy pig iron and spiegeleisen, in pigs, blocks or other primary forms</v>
      </c>
      <c r="C741" s="749" t="s">
        <v>1651</v>
      </c>
      <c r="D741" s="1045"/>
      <c r="E741" s="1045"/>
      <c r="F741" s="1045"/>
      <c r="G741" s="1045"/>
      <c r="H741" s="1045"/>
      <c r="I741" s="1045"/>
      <c r="J741" s="1045"/>
      <c r="K741" s="1045"/>
      <c r="L741" s="1045"/>
      <c r="M741" s="1045"/>
    </row>
    <row r="742" spans="1:13" x14ac:dyDescent="0.2">
      <c r="A742" s="693">
        <v>738</v>
      </c>
      <c r="B742" s="749" t="str">
        <f t="shared" si="12"/>
        <v>Alloy pig iron in pigs, blocks or other primary forms, containing by weight &gt;= 0,3% but &lt;= 1% titanium and &gt;= 0,5% but &lt;= 1% vanadium</v>
      </c>
      <c r="C742" s="749" t="s">
        <v>1653</v>
      </c>
      <c r="D742" s="1045"/>
      <c r="E742" s="1045"/>
      <c r="F742" s="1045"/>
      <c r="G742" s="1045"/>
      <c r="H742" s="1045"/>
      <c r="I742" s="1045"/>
      <c r="J742" s="1045"/>
      <c r="K742" s="1045"/>
      <c r="L742" s="1045"/>
      <c r="M742" s="1045"/>
    </row>
    <row r="743" spans="1:13" x14ac:dyDescent="0.2">
      <c r="A743" s="693">
        <v>739</v>
      </c>
      <c r="B743" s="749" t="str">
        <f t="shared" si="12"/>
        <v>Alloy pig iron and spiegeleisen, in pigs, blocks or other primary forms (excl. alloy iron containing, by weight, &gt;= 0,3% but &lt;= 1% titanium and &gt;= 0,5% but &lt;= 1% vanadium)</v>
      </c>
      <c r="C743" s="749" t="s">
        <v>1655</v>
      </c>
      <c r="D743" s="1045"/>
      <c r="E743" s="1045"/>
      <c r="F743" s="1045"/>
      <c r="G743" s="1045"/>
      <c r="H743" s="1045"/>
      <c r="I743" s="1045"/>
      <c r="J743" s="1045"/>
      <c r="K743" s="1045"/>
      <c r="L743" s="1045"/>
      <c r="M743" s="1045"/>
    </row>
    <row r="744" spans="1:13" x14ac:dyDescent="0.2">
      <c r="A744" s="693">
        <v>740</v>
      </c>
      <c r="B744" s="749" t="str">
        <f t="shared" si="12"/>
        <v>Ferro-manganese, containing by weight &gt; 2% of carbon</v>
      </c>
      <c r="C744" s="749" t="s">
        <v>1657</v>
      </c>
      <c r="D744" s="1045"/>
      <c r="E744" s="1045"/>
      <c r="F744" s="1045"/>
      <c r="G744" s="1045"/>
      <c r="H744" s="1045"/>
      <c r="I744" s="1045"/>
      <c r="J744" s="1045"/>
      <c r="K744" s="1045"/>
      <c r="L744" s="1045"/>
      <c r="M744" s="1045"/>
    </row>
    <row r="745" spans="1:13" x14ac:dyDescent="0.2">
      <c r="A745" s="693">
        <v>741</v>
      </c>
      <c r="B745" s="749" t="str">
        <f t="shared" si="12"/>
        <v>Ferro-manganese, containing by weight &gt; 2% carbon, with a granulometry &lt;= 5 mm and a manganese content by weight &gt; 65%</v>
      </c>
      <c r="C745" s="749" t="s">
        <v>1659</v>
      </c>
      <c r="D745" s="1045"/>
      <c r="E745" s="1045"/>
      <c r="F745" s="1045"/>
      <c r="G745" s="1045"/>
      <c r="H745" s="1045"/>
      <c r="I745" s="1045"/>
      <c r="J745" s="1045"/>
      <c r="K745" s="1045"/>
      <c r="L745" s="1045"/>
      <c r="M745" s="1045"/>
    </row>
    <row r="746" spans="1:13" x14ac:dyDescent="0.2">
      <c r="A746" s="693">
        <v>742</v>
      </c>
      <c r="B746" s="749" t="str">
        <f t="shared" si="12"/>
        <v>Ferro-manganese, containing by weight &gt; 2% carbon (excl. ferro-manganese with a granulometry of &lt;= 5 mm and containing by weight &gt; 65% manganese)</v>
      </c>
      <c r="C746" s="749" t="s">
        <v>1661</v>
      </c>
      <c r="D746" s="1045"/>
      <c r="E746" s="1045"/>
      <c r="F746" s="1045"/>
      <c r="G746" s="1045"/>
      <c r="H746" s="1045"/>
      <c r="I746" s="1045"/>
      <c r="J746" s="1045"/>
      <c r="K746" s="1045"/>
      <c r="L746" s="1045"/>
      <c r="M746" s="1045"/>
    </row>
    <row r="747" spans="1:13" x14ac:dyDescent="0.2">
      <c r="A747" s="693">
        <v>743</v>
      </c>
      <c r="B747" s="749" t="str">
        <f t="shared" si="12"/>
        <v>Ferro-manganese, containing by weight &lt;= 2% carbon</v>
      </c>
      <c r="C747" s="749" t="s">
        <v>1663</v>
      </c>
      <c r="D747" s="1045"/>
      <c r="E747" s="1045"/>
      <c r="F747" s="1045"/>
      <c r="G747" s="1045"/>
      <c r="H747" s="1045"/>
      <c r="I747" s="1045"/>
      <c r="J747" s="1045"/>
      <c r="K747" s="1045"/>
      <c r="L747" s="1045"/>
      <c r="M747" s="1045"/>
    </row>
    <row r="748" spans="1:13" x14ac:dyDescent="0.2">
      <c r="A748" s="693">
        <v>744</v>
      </c>
      <c r="B748" s="749" t="str">
        <f t="shared" si="12"/>
        <v>Ferro-chromium, containing by weight &gt; 4% of carbon</v>
      </c>
      <c r="C748" s="749" t="s">
        <v>1665</v>
      </c>
      <c r="D748" s="1045"/>
      <c r="E748" s="1045"/>
      <c r="F748" s="1045"/>
      <c r="G748" s="1045"/>
      <c r="H748" s="1045"/>
      <c r="I748" s="1045"/>
      <c r="J748" s="1045"/>
      <c r="K748" s="1045"/>
      <c r="L748" s="1045"/>
      <c r="M748" s="1045"/>
    </row>
    <row r="749" spans="1:13" x14ac:dyDescent="0.2">
      <c r="A749" s="693">
        <v>745</v>
      </c>
      <c r="B749" s="749" t="str">
        <f t="shared" si="12"/>
        <v>Ferro-chromium, containing by weight &gt; 4% but &lt;= 6% carbon</v>
      </c>
      <c r="C749" s="749" t="s">
        <v>1667</v>
      </c>
      <c r="D749" s="1045"/>
      <c r="E749" s="1045"/>
      <c r="F749" s="1045"/>
      <c r="G749" s="1045"/>
      <c r="H749" s="1045"/>
      <c r="I749" s="1045"/>
      <c r="J749" s="1045"/>
      <c r="K749" s="1045"/>
      <c r="L749" s="1045"/>
      <c r="M749" s="1045"/>
    </row>
    <row r="750" spans="1:13" x14ac:dyDescent="0.2">
      <c r="A750" s="693">
        <v>746</v>
      </c>
      <c r="B750" s="749" t="str">
        <f t="shared" si="12"/>
        <v>Ferro-chromium, containing by weight &gt; 6% carbon</v>
      </c>
      <c r="C750" s="749" t="s">
        <v>1669</v>
      </c>
      <c r="D750" s="1045"/>
      <c r="E750" s="1045"/>
      <c r="F750" s="1045"/>
      <c r="G750" s="1045"/>
      <c r="H750" s="1045"/>
      <c r="I750" s="1045"/>
      <c r="J750" s="1045"/>
      <c r="K750" s="1045"/>
      <c r="L750" s="1045"/>
      <c r="M750" s="1045"/>
    </row>
    <row r="751" spans="1:13" x14ac:dyDescent="0.2">
      <c r="A751" s="693">
        <v>747</v>
      </c>
      <c r="B751" s="749" t="str">
        <f t="shared" si="12"/>
        <v>Ferro-chromium, containing by weight &lt;= 4% of carbon</v>
      </c>
      <c r="C751" s="749" t="s">
        <v>1671</v>
      </c>
      <c r="D751" s="1045"/>
      <c r="E751" s="1045"/>
      <c r="F751" s="1045"/>
      <c r="G751" s="1045"/>
      <c r="H751" s="1045"/>
      <c r="I751" s="1045"/>
      <c r="J751" s="1045"/>
      <c r="K751" s="1045"/>
      <c r="L751" s="1045"/>
      <c r="M751" s="1045"/>
    </row>
    <row r="752" spans="1:13" x14ac:dyDescent="0.2">
      <c r="A752" s="693">
        <v>748</v>
      </c>
      <c r="B752" s="749" t="str">
        <f t="shared" si="12"/>
        <v>Ferro-chromium, containing by weight &lt;= 0,05% carbon</v>
      </c>
      <c r="C752" s="749" t="s">
        <v>1673</v>
      </c>
      <c r="D752" s="1045"/>
      <c r="E752" s="1045"/>
      <c r="F752" s="1045"/>
      <c r="G752" s="1045"/>
      <c r="H752" s="1045"/>
      <c r="I752" s="1045"/>
      <c r="J752" s="1045"/>
      <c r="K752" s="1045"/>
      <c r="L752" s="1045"/>
      <c r="M752" s="1045"/>
    </row>
    <row r="753" spans="1:13" x14ac:dyDescent="0.2">
      <c r="A753" s="693">
        <v>749</v>
      </c>
      <c r="B753" s="749" t="str">
        <f t="shared" si="12"/>
        <v>Ferro-chromium, containing by weight &gt; 0,05% but &lt;= 0,5% carbon</v>
      </c>
      <c r="C753" s="749" t="s">
        <v>1675</v>
      </c>
      <c r="D753" s="1045"/>
      <c r="E753" s="1045"/>
      <c r="F753" s="1045"/>
      <c r="G753" s="1045"/>
      <c r="H753" s="1045"/>
      <c r="I753" s="1045"/>
      <c r="J753" s="1045"/>
      <c r="K753" s="1045"/>
      <c r="L753" s="1045"/>
      <c r="M753" s="1045"/>
    </row>
    <row r="754" spans="1:13" x14ac:dyDescent="0.2">
      <c r="A754" s="693">
        <v>750</v>
      </c>
      <c r="B754" s="749" t="str">
        <f t="shared" si="12"/>
        <v>Ferro-chromium, containing by weight &gt; 0,5% but &lt;= 4% carbon</v>
      </c>
      <c r="C754" s="749" t="s">
        <v>1677</v>
      </c>
      <c r="D754" s="1045"/>
      <c r="E754" s="1045"/>
      <c r="F754" s="1045"/>
      <c r="G754" s="1045"/>
      <c r="H754" s="1045"/>
      <c r="I754" s="1045"/>
      <c r="J754" s="1045"/>
      <c r="K754" s="1045"/>
      <c r="L754" s="1045"/>
      <c r="M754" s="1045"/>
    </row>
    <row r="755" spans="1:13" x14ac:dyDescent="0.2">
      <c r="A755" s="693">
        <v>751</v>
      </c>
      <c r="B755" s="749" t="str">
        <f t="shared" si="12"/>
        <v>Ferro-nickel</v>
      </c>
      <c r="C755" s="749" t="s">
        <v>1679</v>
      </c>
      <c r="D755" s="1045"/>
      <c r="E755" s="1045"/>
      <c r="F755" s="1045"/>
      <c r="G755" s="1045"/>
      <c r="H755" s="1045"/>
      <c r="I755" s="1045"/>
      <c r="J755" s="1045"/>
      <c r="K755" s="1045"/>
      <c r="L755" s="1045"/>
      <c r="M755" s="1045"/>
    </row>
    <row r="756" spans="1:13" x14ac:dyDescent="0.2">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1681</v>
      </c>
      <c r="D756" s="1045"/>
      <c r="E756" s="1045"/>
      <c r="F756" s="1045"/>
      <c r="G756" s="1045"/>
      <c r="H756" s="1045"/>
      <c r="I756" s="1045"/>
      <c r="J756" s="1045"/>
      <c r="K756" s="1045"/>
      <c r="L756" s="1045"/>
      <c r="M756" s="1045"/>
    </row>
    <row r="757" spans="1:13" x14ac:dyDescent="0.2">
      <c r="A757" s="693">
        <v>753</v>
      </c>
      <c r="B757" s="749" t="str">
        <f t="shared" si="12"/>
        <v>Ferrous products obtained by direct reduction of iron ore, in lumps, pellets or similar forms</v>
      </c>
      <c r="C757" s="749" t="s">
        <v>1683</v>
      </c>
      <c r="D757" s="1045"/>
      <c r="E757" s="1045"/>
      <c r="F757" s="1045"/>
      <c r="G757" s="1045"/>
      <c r="H757" s="1045"/>
      <c r="I757" s="1045"/>
      <c r="J757" s="1045"/>
      <c r="K757" s="1045"/>
      <c r="L757" s="1045"/>
      <c r="M757" s="1045"/>
    </row>
    <row r="758" spans="1:13" x14ac:dyDescent="0.2">
      <c r="A758" s="693">
        <v>754</v>
      </c>
      <c r="B758" s="749" t="str">
        <f t="shared" si="12"/>
        <v>Spongy ferrous products, obtained from molten pig iron by atomisation, iron of a purity of &gt;= 99,94%, in lumps, pellets or similar forms</v>
      </c>
      <c r="C758" s="749" t="s">
        <v>1685</v>
      </c>
      <c r="D758" s="1045"/>
      <c r="E758" s="1045"/>
      <c r="F758" s="1045"/>
      <c r="G758" s="1045"/>
      <c r="H758" s="1045"/>
      <c r="I758" s="1045"/>
      <c r="J758" s="1045"/>
      <c r="K758" s="1045"/>
      <c r="L758" s="1045"/>
      <c r="M758" s="1045"/>
    </row>
    <row r="759" spans="1:13" x14ac:dyDescent="0.2">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1687</v>
      </c>
      <c r="D759" s="1045"/>
      <c r="E759" s="1045"/>
      <c r="F759" s="1045"/>
      <c r="G759" s="1045"/>
      <c r="H759" s="1045"/>
      <c r="I759" s="1045"/>
      <c r="J759" s="1045"/>
      <c r="K759" s="1045"/>
      <c r="L759" s="1045"/>
      <c r="M759" s="1045"/>
    </row>
    <row r="760" spans="1:13" x14ac:dyDescent="0.2">
      <c r="A760" s="693">
        <v>756</v>
      </c>
      <c r="B760" s="749" t="str">
        <f t="shared" si="12"/>
        <v>Granules, of pig iron, spiegeleisen, iron or steel (excl. granules of ferro-alloys, turnings and filings of iron or steel, certain small calibre items, defective balls for ball-bearings)</v>
      </c>
      <c r="C760" s="749" t="s">
        <v>1689</v>
      </c>
      <c r="D760" s="1045"/>
      <c r="E760" s="1045"/>
      <c r="F760" s="1045"/>
      <c r="G760" s="1045"/>
      <c r="H760" s="1045"/>
      <c r="I760" s="1045"/>
      <c r="J760" s="1045"/>
      <c r="K760" s="1045"/>
      <c r="L760" s="1045"/>
      <c r="M760" s="1045"/>
    </row>
    <row r="761" spans="1:13" x14ac:dyDescent="0.2">
      <c r="A761" s="693">
        <v>757</v>
      </c>
      <c r="B761" s="749" t="str">
        <f t="shared" si="12"/>
        <v>Powders, of alloy steel (excl. powders of ferro-alloys and radioactive iron powders "isotopes")</v>
      </c>
      <c r="C761" s="749" t="s">
        <v>1691</v>
      </c>
      <c r="D761" s="1045"/>
      <c r="E761" s="1045"/>
      <c r="F761" s="1045"/>
      <c r="G761" s="1045"/>
      <c r="H761" s="1045"/>
      <c r="I761" s="1045"/>
      <c r="J761" s="1045"/>
      <c r="K761" s="1045"/>
      <c r="L761" s="1045"/>
      <c r="M761" s="1045"/>
    </row>
    <row r="762" spans="1:13" x14ac:dyDescent="0.2">
      <c r="A762" s="693">
        <v>758</v>
      </c>
      <c r="B762" s="749" t="str">
        <f t="shared" si="12"/>
        <v>Powders, of pig iron, spiegeleisen, iron or non-alloy steel (excl. powders of ferro-alloys and radioactive iron powders "isotopes")</v>
      </c>
      <c r="C762" s="749" t="s">
        <v>1693</v>
      </c>
      <c r="D762" s="1045"/>
      <c r="E762" s="1045"/>
      <c r="F762" s="1045"/>
      <c r="G762" s="1045"/>
      <c r="H762" s="1045"/>
      <c r="I762" s="1045"/>
      <c r="J762" s="1045"/>
      <c r="K762" s="1045"/>
      <c r="L762" s="1045"/>
      <c r="M762" s="1045"/>
    </row>
    <row r="763" spans="1:13" x14ac:dyDescent="0.2">
      <c r="A763" s="693">
        <v>759</v>
      </c>
      <c r="B763" s="749" t="str">
        <f t="shared" si="12"/>
        <v>Iron and non-alloy steel in ingots or other primary forms (excl. remelting scrap ingots, products obtained by continuous casting and iron of heading 7203)</v>
      </c>
      <c r="C763" s="749" t="s">
        <v>1695</v>
      </c>
      <c r="D763" s="1045"/>
      <c r="E763" s="1045"/>
      <c r="F763" s="1045"/>
      <c r="G763" s="1045"/>
      <c r="H763" s="1045"/>
      <c r="I763" s="1045"/>
      <c r="J763" s="1045"/>
      <c r="K763" s="1045"/>
      <c r="L763" s="1045"/>
      <c r="M763" s="1045"/>
    </row>
    <row r="764" spans="1:13" x14ac:dyDescent="0.2">
      <c r="A764" s="693">
        <v>760</v>
      </c>
      <c r="B764" s="749" t="str">
        <f t="shared" si="12"/>
        <v>Ingots, of iron and non-alloy steel (excl. remelted scrap ingots, continuous cast products, iron of heading 7203)</v>
      </c>
      <c r="C764" s="749" t="s">
        <v>1697</v>
      </c>
      <c r="D764" s="1045"/>
      <c r="E764" s="1045"/>
      <c r="F764" s="1045"/>
      <c r="G764" s="1045"/>
      <c r="H764" s="1045"/>
      <c r="I764" s="1045"/>
      <c r="J764" s="1045"/>
      <c r="K764" s="1045"/>
      <c r="L764" s="1045"/>
      <c r="M764" s="1045"/>
    </row>
    <row r="765" spans="1:13" x14ac:dyDescent="0.2">
      <c r="A765" s="693">
        <v>761</v>
      </c>
      <c r="B765" s="749" t="str">
        <f t="shared" si="12"/>
        <v>Iron and non-alloy steel, in puddled bars or other primary forms (excl. ingots, remelted scrap ingots, continuous cast products, iron of heading 7203)</v>
      </c>
      <c r="C765" s="749" t="s">
        <v>1699</v>
      </c>
      <c r="D765" s="1045"/>
      <c r="E765" s="1045"/>
      <c r="F765" s="1045"/>
      <c r="G765" s="1045"/>
      <c r="H765" s="1045"/>
      <c r="I765" s="1045"/>
      <c r="J765" s="1045"/>
      <c r="K765" s="1045"/>
      <c r="L765" s="1045"/>
      <c r="M765" s="1045"/>
    </row>
    <row r="766" spans="1:13" x14ac:dyDescent="0.2">
      <c r="A766" s="693">
        <v>762</v>
      </c>
      <c r="B766" s="749" t="str">
        <f t="shared" si="12"/>
        <v>Semi-finished products of iron or non-alloy steel</v>
      </c>
      <c r="C766" s="749" t="s">
        <v>1701</v>
      </c>
      <c r="D766" s="1045"/>
      <c r="E766" s="1045"/>
      <c r="F766" s="1045"/>
      <c r="G766" s="1045"/>
      <c r="H766" s="1045"/>
      <c r="I766" s="1045"/>
      <c r="J766" s="1045"/>
      <c r="K766" s="1045"/>
      <c r="L766" s="1045"/>
      <c r="M766" s="1045"/>
    </row>
    <row r="767" spans="1:13" x14ac:dyDescent="0.2">
      <c r="A767" s="693">
        <v>763</v>
      </c>
      <c r="B767" s="749" t="str">
        <f t="shared" si="12"/>
        <v>Semi-finished products of iron or non-alloy steel containing, by weight, &lt; 0,25% of carbon, of square or rectangular cross-section, the width measuring &lt; twice the thickness</v>
      </c>
      <c r="C767" s="749" t="s">
        <v>1703</v>
      </c>
      <c r="D767" s="1045"/>
      <c r="E767" s="1045"/>
      <c r="F767" s="1045"/>
      <c r="G767" s="1045"/>
      <c r="H767" s="1045"/>
      <c r="I767" s="1045"/>
      <c r="J767" s="1045"/>
      <c r="K767" s="1045"/>
      <c r="L767" s="1045"/>
      <c r="M767" s="1045"/>
    </row>
    <row r="768" spans="1:13" x14ac:dyDescent="0.2">
      <c r="A768" s="693">
        <v>764</v>
      </c>
      <c r="B768" s="749" t="str">
        <f t="shared" si="12"/>
        <v>Semi-finished products, of non-alloy free-cutting steel, containing by weight &lt; 0,25% carbon, of square or rectangular cross-section, the width &lt; twice the thickness, rolled or obtained by continuous casting</v>
      </c>
      <c r="C768" s="749" t="s">
        <v>1705</v>
      </c>
      <c r="D768" s="1045"/>
      <c r="E768" s="1045"/>
      <c r="F768" s="1045"/>
      <c r="G768" s="1045"/>
      <c r="H768" s="1045"/>
      <c r="I768" s="1045"/>
      <c r="J768" s="1045"/>
      <c r="K768" s="1045"/>
      <c r="L768" s="1045"/>
      <c r="M768" s="1045"/>
    </row>
    <row r="769" spans="1:13" x14ac:dyDescent="0.2">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1707</v>
      </c>
      <c r="D769" s="1045"/>
      <c r="E769" s="1045"/>
      <c r="F769" s="1045"/>
      <c r="G769" s="1045"/>
      <c r="H769" s="1045"/>
      <c r="I769" s="1045"/>
      <c r="J769" s="1045"/>
      <c r="K769" s="1045"/>
      <c r="L769" s="1045"/>
      <c r="M769" s="1045"/>
    </row>
    <row r="770" spans="1:13" x14ac:dyDescent="0.2">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1709</v>
      </c>
      <c r="D770" s="1045"/>
      <c r="E770" s="1045"/>
      <c r="F770" s="1045"/>
      <c r="G770" s="1045"/>
      <c r="H770" s="1045"/>
      <c r="I770" s="1045"/>
      <c r="J770" s="1045"/>
      <c r="K770" s="1045"/>
      <c r="L770" s="1045"/>
      <c r="M770" s="1045"/>
    </row>
    <row r="771" spans="1:13" x14ac:dyDescent="0.2">
      <c r="A771" s="693">
        <v>767</v>
      </c>
      <c r="B771" s="749" t="str">
        <f t="shared" si="12"/>
        <v>Semi-finished products of iron or non-alloy steel, containing by weight &lt; 0,25% carbon, of rectangular cross-section, the width &lt; twice the thickness, forged</v>
      </c>
      <c r="C771" s="749" t="s">
        <v>1711</v>
      </c>
      <c r="D771" s="1045"/>
      <c r="E771" s="1045"/>
      <c r="F771" s="1045"/>
      <c r="G771" s="1045"/>
      <c r="H771" s="1045"/>
      <c r="I771" s="1045"/>
      <c r="J771" s="1045"/>
      <c r="K771" s="1045"/>
      <c r="L771" s="1045"/>
      <c r="M771" s="1045"/>
    </row>
    <row r="772" spans="1:13" x14ac:dyDescent="0.2">
      <c r="A772" s="693">
        <v>768</v>
      </c>
      <c r="B772" s="749" t="str">
        <f t="shared" si="12"/>
        <v>Semi-finished products of iron or non-alloy steel containing, by weight, &lt; 0,25% of carbon, of rectangular "other than square" cross-section, the width measuring &gt;= twice the thickness</v>
      </c>
      <c r="C772" s="749" t="s">
        <v>1713</v>
      </c>
      <c r="D772" s="1045"/>
      <c r="E772" s="1045"/>
      <c r="F772" s="1045"/>
      <c r="G772" s="1045"/>
      <c r="H772" s="1045"/>
      <c r="I772" s="1045"/>
      <c r="J772" s="1045"/>
      <c r="K772" s="1045"/>
      <c r="L772" s="1045"/>
      <c r="M772" s="1045"/>
    </row>
    <row r="773" spans="1:13" x14ac:dyDescent="0.2">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1715</v>
      </c>
      <c r="D773" s="1045"/>
      <c r="E773" s="1045"/>
      <c r="F773" s="1045"/>
      <c r="G773" s="1045"/>
      <c r="H773" s="1045"/>
      <c r="I773" s="1045"/>
      <c r="J773" s="1045"/>
      <c r="K773" s="1045"/>
      <c r="L773" s="1045"/>
      <c r="M773" s="1045"/>
    </row>
    <row r="774" spans="1:13" x14ac:dyDescent="0.2">
      <c r="A774" s="693">
        <v>770</v>
      </c>
      <c r="B774" s="749" t="str">
        <f t="shared" si="12"/>
        <v>Semi-finished products of iron or non-alloy steel, containing by weight &lt; 0,25% carbon, of rectangular "other than square" cross-section, the width &gt;= twice the thickness, forged</v>
      </c>
      <c r="C774" s="749" t="s">
        <v>1717</v>
      </c>
      <c r="D774" s="1045"/>
      <c r="E774" s="1045"/>
      <c r="F774" s="1045"/>
      <c r="G774" s="1045"/>
      <c r="H774" s="1045"/>
      <c r="I774" s="1045"/>
      <c r="J774" s="1045"/>
      <c r="K774" s="1045"/>
      <c r="L774" s="1045"/>
      <c r="M774" s="1045"/>
    </row>
    <row r="775" spans="1:13" x14ac:dyDescent="0.2">
      <c r="A775" s="693">
        <v>771</v>
      </c>
      <c r="B775" s="749" t="str">
        <f t="shared" si="12"/>
        <v>Semi-finished products of iron or non-alloy steel containing, by weight, &lt; 0,25% of carbon, of circular cross-section, or of a cross-section other than square or rectangular</v>
      </c>
      <c r="C775" s="749" t="s">
        <v>1719</v>
      </c>
      <c r="D775" s="1045"/>
      <c r="E775" s="1045"/>
      <c r="F775" s="1045"/>
      <c r="G775" s="1045"/>
      <c r="H775" s="1045"/>
      <c r="I775" s="1045"/>
      <c r="J775" s="1045"/>
      <c r="K775" s="1045"/>
      <c r="L775" s="1045"/>
      <c r="M775" s="1045"/>
    </row>
    <row r="776" spans="1:13" x14ac:dyDescent="0.2">
      <c r="A776" s="693">
        <v>772</v>
      </c>
      <c r="B776" s="749" t="str">
        <f t="shared" si="12"/>
        <v>Semi-finished products, of iron or non-alloy steel, containing by weight &lt; 0,25% carbon, of circular or polygonal cross-section, rolled or obtained by continuous casting</v>
      </c>
      <c r="C776" s="749" t="s">
        <v>1721</v>
      </c>
      <c r="D776" s="1045"/>
      <c r="E776" s="1045"/>
      <c r="F776" s="1045"/>
      <c r="G776" s="1045"/>
      <c r="H776" s="1045"/>
      <c r="I776" s="1045"/>
      <c r="J776" s="1045"/>
      <c r="K776" s="1045"/>
      <c r="L776" s="1045"/>
      <c r="M776" s="1045"/>
    </row>
    <row r="777" spans="1:13" x14ac:dyDescent="0.2">
      <c r="A777" s="693">
        <v>773</v>
      </c>
      <c r="B777" s="749" t="str">
        <f t="shared" si="12"/>
        <v>Semi-finished products of iron or non-alloy steel, containing by weight &lt; 0,25% carbon (excl. semi-products, of square, rectangular, circular or polygonal cross-section)</v>
      </c>
      <c r="C777" s="749" t="s">
        <v>1725</v>
      </c>
      <c r="D777" s="1045"/>
      <c r="E777" s="1045"/>
      <c r="F777" s="1045"/>
      <c r="G777" s="1045"/>
      <c r="H777" s="1045"/>
      <c r="I777" s="1045"/>
      <c r="J777" s="1045"/>
      <c r="K777" s="1045"/>
      <c r="L777" s="1045"/>
      <c r="M777" s="1045"/>
    </row>
    <row r="778" spans="1:13" x14ac:dyDescent="0.2">
      <c r="A778" s="693">
        <v>774</v>
      </c>
      <c r="B778" s="749" t="str">
        <f t="shared" si="12"/>
        <v>Semi-finished products of iron or non-alloy steel containing, by weight, &gt;= 0,25% of carbon</v>
      </c>
      <c r="C778" s="749" t="s">
        <v>1727</v>
      </c>
      <c r="D778" s="1045"/>
      <c r="E778" s="1045"/>
      <c r="F778" s="1045"/>
      <c r="G778" s="1045"/>
      <c r="H778" s="1045"/>
      <c r="I778" s="1045"/>
      <c r="J778" s="1045"/>
      <c r="K778" s="1045"/>
      <c r="L778" s="1045"/>
      <c r="M778" s="1045"/>
    </row>
    <row r="779" spans="1:13" x14ac:dyDescent="0.2">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1729</v>
      </c>
      <c r="D779" s="1045"/>
      <c r="E779" s="1045"/>
      <c r="F779" s="1045"/>
      <c r="G779" s="1045"/>
      <c r="H779" s="1045"/>
      <c r="I779" s="1045"/>
      <c r="J779" s="1045"/>
      <c r="K779" s="1045"/>
      <c r="L779" s="1045"/>
      <c r="M779" s="1045"/>
    </row>
    <row r="780" spans="1:13" x14ac:dyDescent="0.2">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1731</v>
      </c>
      <c r="D780" s="1045"/>
      <c r="E780" s="1045"/>
      <c r="F780" s="1045"/>
      <c r="G780" s="1045"/>
      <c r="H780" s="1045"/>
      <c r="I780" s="1045"/>
      <c r="J780" s="1045"/>
      <c r="K780" s="1045"/>
      <c r="L780" s="1045"/>
      <c r="M780" s="1045"/>
    </row>
    <row r="781" spans="1:13" x14ac:dyDescent="0.2">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1733</v>
      </c>
      <c r="D781" s="1045"/>
      <c r="E781" s="1045"/>
      <c r="F781" s="1045"/>
      <c r="G781" s="1045"/>
      <c r="H781" s="1045"/>
      <c r="I781" s="1045"/>
      <c r="J781" s="1045"/>
      <c r="K781" s="1045"/>
      <c r="L781" s="1045"/>
      <c r="M781" s="1045"/>
    </row>
    <row r="782" spans="1:13" x14ac:dyDescent="0.2">
      <c r="A782" s="693">
        <v>778</v>
      </c>
      <c r="B782" s="749" t="str">
        <f t="shared" si="13"/>
        <v>Semi-finished products of iron or non-alloy steel, containing by weight &gt;= 0,25% carbon, of square or rectangular cross-section, the width &lt; twice the thickness, forged</v>
      </c>
      <c r="C782" s="749" t="s">
        <v>1735</v>
      </c>
      <c r="D782" s="1045"/>
      <c r="E782" s="1045"/>
      <c r="F782" s="1045"/>
      <c r="G782" s="1045"/>
      <c r="H782" s="1045"/>
      <c r="I782" s="1045"/>
      <c r="J782" s="1045"/>
      <c r="K782" s="1045"/>
      <c r="L782" s="1045"/>
      <c r="M782" s="1045"/>
    </row>
    <row r="783" spans="1:13" x14ac:dyDescent="0.2">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1737</v>
      </c>
      <c r="D783" s="1045"/>
      <c r="E783" s="1045"/>
      <c r="F783" s="1045"/>
      <c r="G783" s="1045"/>
      <c r="H783" s="1045"/>
      <c r="I783" s="1045"/>
      <c r="J783" s="1045"/>
      <c r="K783" s="1045"/>
      <c r="L783" s="1045"/>
      <c r="M783" s="1045"/>
    </row>
    <row r="784" spans="1:13" x14ac:dyDescent="0.2">
      <c r="A784" s="693">
        <v>780</v>
      </c>
      <c r="B784" s="749" t="str">
        <f t="shared" si="13"/>
        <v>Semi-finished products of iron or non-alloy steel, containing by weight &gt;= 0,25% carbon, of rectangular "other than square" cross-section and the width &gt;= twice the thickness, forged</v>
      </c>
      <c r="C784" s="749" t="s">
        <v>1739</v>
      </c>
      <c r="D784" s="1045"/>
      <c r="E784" s="1045"/>
      <c r="F784" s="1045"/>
      <c r="G784" s="1045"/>
      <c r="H784" s="1045"/>
      <c r="I784" s="1045"/>
      <c r="J784" s="1045"/>
      <c r="K784" s="1045"/>
      <c r="L784" s="1045"/>
      <c r="M784" s="1045"/>
    </row>
    <row r="785" spans="1:13" x14ac:dyDescent="0.2">
      <c r="A785" s="693">
        <v>781</v>
      </c>
      <c r="B785" s="749" t="str">
        <f t="shared" si="13"/>
        <v>Semi-finished products of iron or non-alloy steel, containing by weight &gt;= 0,25% carbon, of circular or polygonal cross-section, rolled or obtained by continuous casting</v>
      </c>
      <c r="C785" s="749" t="s">
        <v>1741</v>
      </c>
      <c r="D785" s="1045"/>
      <c r="E785" s="1045"/>
      <c r="F785" s="1045"/>
      <c r="G785" s="1045"/>
      <c r="H785" s="1045"/>
      <c r="I785" s="1045"/>
      <c r="J785" s="1045"/>
      <c r="K785" s="1045"/>
      <c r="L785" s="1045"/>
      <c r="M785" s="1045"/>
    </row>
    <row r="786" spans="1:13" x14ac:dyDescent="0.2">
      <c r="A786" s="693">
        <v>782</v>
      </c>
      <c r="B786" s="749" t="str">
        <f t="shared" si="13"/>
        <v>Semi-finished products of iron or non-alloy steel, containing by weight &gt;= 0,6% carbon, of circular or polygonal cross-section, forged</v>
      </c>
      <c r="C786" s="749" t="s">
        <v>1743</v>
      </c>
      <c r="D786" s="1045"/>
      <c r="E786" s="1045"/>
      <c r="F786" s="1045"/>
      <c r="G786" s="1045"/>
      <c r="H786" s="1045"/>
      <c r="I786" s="1045"/>
      <c r="J786" s="1045"/>
      <c r="K786" s="1045"/>
      <c r="L786" s="1045"/>
      <c r="M786" s="1045"/>
    </row>
    <row r="787" spans="1:13" x14ac:dyDescent="0.2">
      <c r="A787" s="693">
        <v>783</v>
      </c>
      <c r="B787" s="749" t="str">
        <f t="shared" si="13"/>
        <v>Semi-finished products of iron or non-alloy steel, containing by weight &gt;= 0,25% carbon (excl. those of square, rectangular, circular or polygonal cross-section)</v>
      </c>
      <c r="C787" s="749" t="s">
        <v>1745</v>
      </c>
      <c r="D787" s="1045"/>
      <c r="E787" s="1045"/>
      <c r="F787" s="1045"/>
      <c r="G787" s="1045"/>
      <c r="H787" s="1045"/>
      <c r="I787" s="1045"/>
      <c r="J787" s="1045"/>
      <c r="K787" s="1045"/>
      <c r="L787" s="1045"/>
      <c r="M787" s="1045"/>
    </row>
    <row r="788" spans="1:13" x14ac:dyDescent="0.2">
      <c r="A788" s="693">
        <v>784</v>
      </c>
      <c r="B788" s="749" t="str">
        <f t="shared" si="13"/>
        <v>Flat-rolled products of iron or non-alloy steel, of a width &gt;= 600 mm, hot-rolled, not clad, plated or coated</v>
      </c>
      <c r="C788" s="749" t="s">
        <v>1747</v>
      </c>
      <c r="D788" s="1045"/>
      <c r="E788" s="1045"/>
      <c r="F788" s="1045"/>
      <c r="G788" s="1045"/>
      <c r="H788" s="1045"/>
      <c r="I788" s="1045"/>
      <c r="J788" s="1045"/>
      <c r="K788" s="1045"/>
      <c r="L788" s="1045"/>
      <c r="M788" s="1045"/>
    </row>
    <row r="789" spans="1:13" x14ac:dyDescent="0.2">
      <c r="A789" s="693">
        <v>785</v>
      </c>
      <c r="B789" s="749" t="str">
        <f t="shared" si="13"/>
        <v>Flat-rolled products of iron or non-alloy steel, of a width of &gt;= 600 mm, in coils, simply hot-rolled, not clad, plated or coated, with patterns in relief directly due to the rolling process</v>
      </c>
      <c r="C789" s="749" t="s">
        <v>1749</v>
      </c>
      <c r="D789" s="1045"/>
      <c r="E789" s="1045"/>
      <c r="F789" s="1045"/>
      <c r="G789" s="1045"/>
      <c r="H789" s="1045"/>
      <c r="I789" s="1045"/>
      <c r="J789" s="1045"/>
      <c r="K789" s="1045"/>
      <c r="L789" s="1045"/>
      <c r="M789" s="1045"/>
    </row>
    <row r="790" spans="1:13" x14ac:dyDescent="0.2">
      <c r="A790" s="693">
        <v>786</v>
      </c>
      <c r="B790" s="749" t="str">
        <f t="shared" si="13"/>
        <v>Flat-rolled products of iron or non-alloy steel, of a width of &gt;= 600 mm, in coils, simply hot-rolled, not clad, plated or coated, of a thickness of &gt;= 4,75 mm, pickled, without patterns in relief</v>
      </c>
      <c r="C790" s="749" t="s">
        <v>1751</v>
      </c>
      <c r="D790" s="1045"/>
      <c r="E790" s="1045"/>
      <c r="F790" s="1045"/>
      <c r="G790" s="1045"/>
      <c r="H790" s="1045"/>
      <c r="I790" s="1045"/>
      <c r="J790" s="1045"/>
      <c r="K790" s="1045"/>
      <c r="L790" s="1045"/>
      <c r="M790" s="1045"/>
    </row>
    <row r="791" spans="1:13" x14ac:dyDescent="0.2">
      <c r="A791" s="693">
        <v>787</v>
      </c>
      <c r="B791" s="749" t="str">
        <f t="shared" si="13"/>
        <v>Flat-rolled products of iron or non-alloy steel, of a width of &gt;= 600 mm, in coils, simply hot-rolled, not clad, plated or coated, of a thickness of &gt;= 3 mm but &lt; 4,75 mm, pickled, without patterns in relief</v>
      </c>
      <c r="C791" s="749" t="s">
        <v>1753</v>
      </c>
      <c r="D791" s="1045"/>
      <c r="E791" s="1045"/>
      <c r="F791" s="1045"/>
      <c r="G791" s="1045"/>
      <c r="H791" s="1045"/>
      <c r="I791" s="1045"/>
      <c r="J791" s="1045"/>
      <c r="K791" s="1045"/>
      <c r="L791" s="1045"/>
      <c r="M791" s="1045"/>
    </row>
    <row r="792" spans="1:13" x14ac:dyDescent="0.2">
      <c r="A792" s="693">
        <v>788</v>
      </c>
      <c r="B792" s="749" t="str">
        <f t="shared" si="13"/>
        <v>Flat-rolled products of iron or non-alloy steel, of a width of &gt;= 600 mm, in coils, simply hot-rolled, not clad, plated or coated, of a thickness of &lt; 3 mm, pickled, without patterns in relief</v>
      </c>
      <c r="C792" s="749" t="s">
        <v>1755</v>
      </c>
      <c r="D792" s="1045"/>
      <c r="E792" s="1045"/>
      <c r="F792" s="1045"/>
      <c r="G792" s="1045"/>
      <c r="H792" s="1045"/>
      <c r="I792" s="1045"/>
      <c r="J792" s="1045"/>
      <c r="K792" s="1045"/>
      <c r="L792" s="1045"/>
      <c r="M792" s="1045"/>
    </row>
    <row r="793" spans="1:13" x14ac:dyDescent="0.2">
      <c r="A793" s="693">
        <v>789</v>
      </c>
      <c r="B793" s="749" t="str">
        <f t="shared" si="13"/>
        <v>Flat-rolled products of iron or non-alloy steel, of a width of &gt;= 600 mm, in coils, simply hot-rolled, not clad, plated or coated, of a thickness of &gt;= 10 mm, not pickled, without patterns in relief</v>
      </c>
      <c r="C793" s="749" t="s">
        <v>1757</v>
      </c>
      <c r="D793" s="1045"/>
      <c r="E793" s="1045"/>
      <c r="F793" s="1045"/>
      <c r="G793" s="1045"/>
      <c r="H793" s="1045"/>
      <c r="I793" s="1045"/>
      <c r="J793" s="1045"/>
      <c r="K793" s="1045"/>
      <c r="L793" s="1045"/>
      <c r="M793" s="1045"/>
    </row>
    <row r="794" spans="1:13" x14ac:dyDescent="0.2">
      <c r="A794" s="693">
        <v>790</v>
      </c>
      <c r="B794" s="749" t="str">
        <f t="shared" si="13"/>
        <v>Flat-rolled products of iron or non-alloy steel, of a width of &gt;= 600 mm, in coils, simply hot-rolled, not clad, plated or coated, of a thickness of &gt;= 4,75 mm but &lt; 10 mm, not pickled, without patterns in relief</v>
      </c>
      <c r="C794" s="749" t="s">
        <v>1759</v>
      </c>
      <c r="D794" s="1045"/>
      <c r="E794" s="1045"/>
      <c r="F794" s="1045"/>
      <c r="G794" s="1045"/>
      <c r="H794" s="1045"/>
      <c r="I794" s="1045"/>
      <c r="J794" s="1045"/>
      <c r="K794" s="1045"/>
      <c r="L794" s="1045"/>
      <c r="M794" s="1045"/>
    </row>
    <row r="795" spans="1:13" x14ac:dyDescent="0.2">
      <c r="A795" s="693">
        <v>791</v>
      </c>
      <c r="B795" s="749" t="str">
        <f t="shared" si="13"/>
        <v>Flat-rolled products of iron or non-alloy steel, of a width of &gt;= 600 mm, in coils, simply hot-rolled, not clad, plated or coated, of a thickness of &gt;= 3 mm but &lt; 4,75 mm, not pickled, without patterns in relief</v>
      </c>
      <c r="C795" s="749" t="s">
        <v>1761</v>
      </c>
      <c r="D795" s="1045"/>
      <c r="E795" s="1045"/>
      <c r="F795" s="1045"/>
      <c r="G795" s="1045"/>
      <c r="H795" s="1045"/>
      <c r="I795" s="1045"/>
      <c r="J795" s="1045"/>
      <c r="K795" s="1045"/>
      <c r="L795" s="1045"/>
      <c r="M795" s="1045"/>
    </row>
    <row r="796" spans="1:13" x14ac:dyDescent="0.2">
      <c r="A796" s="693">
        <v>792</v>
      </c>
      <c r="B796" s="749" t="str">
        <f t="shared" si="13"/>
        <v>Flat-rolled products of iron or non-alloy steel, of a width of &gt;= 600 mm, in coils, simply hot-rolled, not clad, plated or coated, of a thickness of &lt; 3 mm, not pickled, without patterns in relief</v>
      </c>
      <c r="C796" s="749" t="s">
        <v>1763</v>
      </c>
      <c r="D796" s="1045"/>
      <c r="E796" s="1045"/>
      <c r="F796" s="1045"/>
      <c r="G796" s="1045"/>
      <c r="H796" s="1045"/>
      <c r="I796" s="1045"/>
      <c r="J796" s="1045"/>
      <c r="K796" s="1045"/>
      <c r="L796" s="1045"/>
      <c r="M796" s="1045"/>
    </row>
    <row r="797" spans="1:13" x14ac:dyDescent="0.2">
      <c r="A797" s="693">
        <v>793</v>
      </c>
      <c r="B797" s="749" t="str">
        <f t="shared" si="13"/>
        <v>Flat-rolled products of iron or non-alloy steel, of a width of &gt;= 600 mm, not in coils, simply hot-rolled, not clad, plated or coated, with patterns in relief directly due to the rolling process</v>
      </c>
      <c r="C797" s="749" t="s">
        <v>1765</v>
      </c>
      <c r="D797" s="1045"/>
      <c r="E797" s="1045"/>
      <c r="F797" s="1045"/>
      <c r="G797" s="1045"/>
      <c r="H797" s="1045"/>
      <c r="I797" s="1045"/>
      <c r="J797" s="1045"/>
      <c r="K797" s="1045"/>
      <c r="L797" s="1045"/>
      <c r="M797" s="1045"/>
    </row>
    <row r="798" spans="1:13" x14ac:dyDescent="0.2">
      <c r="A798" s="693">
        <v>794</v>
      </c>
      <c r="B798" s="749" t="str">
        <f t="shared" si="13"/>
        <v>Flat-rolled products of iron or non-alloy steel, of a width &gt;= 600 mm, not in coils, simply hot-rolled, not clad, plated or coated, of a thickness of &gt; 10 mm, without patterns in relief</v>
      </c>
      <c r="C798" s="749" t="s">
        <v>1767</v>
      </c>
      <c r="D798" s="1045"/>
      <c r="E798" s="1045"/>
      <c r="F798" s="1045"/>
      <c r="G798" s="1045"/>
      <c r="H798" s="1045"/>
      <c r="I798" s="1045"/>
      <c r="J798" s="1045"/>
      <c r="K798" s="1045"/>
      <c r="L798" s="1045"/>
      <c r="M798" s="1045"/>
    </row>
    <row r="799" spans="1:13" x14ac:dyDescent="0.2">
      <c r="A799" s="693">
        <v>795</v>
      </c>
      <c r="B799" s="749" t="str">
        <f t="shared" si="13"/>
        <v>Flat-rolled products of iron or non-alloy steel, of a width of &gt;= 600 mm, not in coils, simply hot-rolled, not clad, plated or coated, of a thickness of &gt; 15 mm, without patterns in relief</v>
      </c>
      <c r="C799" s="749" t="s">
        <v>1769</v>
      </c>
      <c r="D799" s="1045"/>
      <c r="E799" s="1045"/>
      <c r="F799" s="1045"/>
      <c r="G799" s="1045"/>
      <c r="H799" s="1045"/>
      <c r="I799" s="1045"/>
      <c r="J799" s="1045"/>
      <c r="K799" s="1045"/>
      <c r="L799" s="1045"/>
      <c r="M799" s="1045"/>
    </row>
    <row r="800" spans="1:13" x14ac:dyDescent="0.2">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1771</v>
      </c>
      <c r="D800" s="1045"/>
      <c r="E800" s="1045"/>
      <c r="F800" s="1045"/>
      <c r="G800" s="1045"/>
      <c r="H800" s="1045"/>
      <c r="I800" s="1045"/>
      <c r="J800" s="1045"/>
      <c r="K800" s="1045"/>
      <c r="L800" s="1045"/>
      <c r="M800" s="1045"/>
    </row>
    <row r="801" spans="1:13" x14ac:dyDescent="0.2">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1773</v>
      </c>
      <c r="D801" s="1045"/>
      <c r="E801" s="1045"/>
      <c r="F801" s="1045"/>
      <c r="G801" s="1045"/>
      <c r="H801" s="1045"/>
      <c r="I801" s="1045"/>
      <c r="J801" s="1045"/>
      <c r="K801" s="1045"/>
      <c r="L801" s="1045"/>
      <c r="M801" s="1045"/>
    </row>
    <row r="802" spans="1:13" x14ac:dyDescent="0.2">
      <c r="A802" s="693">
        <v>798</v>
      </c>
      <c r="B802" s="749" t="str">
        <f t="shared" si="13"/>
        <v>Flat-rolled products of iron or non-alloy steel, of a width of &gt;= 600 mm, not in coils, simply hot-rolled, not clad, plated or coated, of a thickness of &gt;= 4,75 mm but &lt;= 10 mm, without patterns in relief</v>
      </c>
      <c r="C802" s="749" t="s">
        <v>1775</v>
      </c>
      <c r="D802" s="1045"/>
      <c r="E802" s="1045"/>
      <c r="F802" s="1045"/>
      <c r="G802" s="1045"/>
      <c r="H802" s="1045"/>
      <c r="I802" s="1045"/>
      <c r="J802" s="1045"/>
      <c r="K802" s="1045"/>
      <c r="L802" s="1045"/>
      <c r="M802" s="1045"/>
    </row>
    <row r="803" spans="1:13" x14ac:dyDescent="0.2">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1777</v>
      </c>
      <c r="D803" s="1045"/>
      <c r="E803" s="1045"/>
      <c r="F803" s="1045"/>
      <c r="G803" s="1045"/>
      <c r="H803" s="1045"/>
      <c r="I803" s="1045"/>
      <c r="J803" s="1045"/>
      <c r="K803" s="1045"/>
      <c r="L803" s="1045"/>
      <c r="M803" s="1045"/>
    </row>
    <row r="804" spans="1:13" x14ac:dyDescent="0.2">
      <c r="A804" s="693">
        <v>800</v>
      </c>
      <c r="B804" s="749" t="str">
        <f t="shared" si="13"/>
        <v>Flat-rolled products of iron or non-alloy steel, of a width of &gt;= 2.050 mm, not in coils, simply hot-rolled, not clad, plated or coated, of a thickness of &gt;= 4,75 mm but &lt;= 10 mm, without patterns in relief</v>
      </c>
      <c r="C804" s="749" t="s">
        <v>1779</v>
      </c>
      <c r="D804" s="1045"/>
      <c r="E804" s="1045"/>
      <c r="F804" s="1045"/>
      <c r="G804" s="1045"/>
      <c r="H804" s="1045"/>
      <c r="I804" s="1045"/>
      <c r="J804" s="1045"/>
      <c r="K804" s="1045"/>
      <c r="L804" s="1045"/>
      <c r="M804" s="1045"/>
    </row>
    <row r="805" spans="1:13" x14ac:dyDescent="0.2">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1781</v>
      </c>
      <c r="D805" s="1045"/>
      <c r="E805" s="1045"/>
      <c r="F805" s="1045"/>
      <c r="G805" s="1045"/>
      <c r="H805" s="1045"/>
      <c r="I805" s="1045"/>
      <c r="J805" s="1045"/>
      <c r="K805" s="1045"/>
      <c r="L805" s="1045"/>
      <c r="M805" s="1045"/>
    </row>
    <row r="806" spans="1:13" x14ac:dyDescent="0.2">
      <c r="A806" s="693">
        <v>802</v>
      </c>
      <c r="B806" s="749" t="str">
        <f t="shared" si="13"/>
        <v>Flat-rolled products of iron or non-alloy steel, of a width of &gt;= 600 mm, not in coils, simply hot-rolled, not clad, plated or coated, of a thickness of &gt;= 3 mm but &lt; 4,75 mm, without patterns in relief</v>
      </c>
      <c r="C806" s="749" t="s">
        <v>1783</v>
      </c>
      <c r="D806" s="1045"/>
      <c r="E806" s="1045"/>
      <c r="F806" s="1045"/>
      <c r="G806" s="1045"/>
      <c r="H806" s="1045"/>
      <c r="I806" s="1045"/>
      <c r="J806" s="1045"/>
      <c r="K806" s="1045"/>
      <c r="L806" s="1045"/>
      <c r="M806" s="1045"/>
    </row>
    <row r="807" spans="1:13" x14ac:dyDescent="0.2">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1785</v>
      </c>
      <c r="D807" s="1045"/>
      <c r="E807" s="1045"/>
      <c r="F807" s="1045"/>
      <c r="G807" s="1045"/>
      <c r="H807" s="1045"/>
      <c r="I807" s="1045"/>
      <c r="J807" s="1045"/>
      <c r="K807" s="1045"/>
      <c r="L807" s="1045"/>
      <c r="M807" s="1045"/>
    </row>
    <row r="808" spans="1:13" x14ac:dyDescent="0.2">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1787</v>
      </c>
      <c r="D808" s="1045"/>
      <c r="E808" s="1045"/>
      <c r="F808" s="1045"/>
      <c r="G808" s="1045"/>
      <c r="H808" s="1045"/>
      <c r="I808" s="1045"/>
      <c r="J808" s="1045"/>
      <c r="K808" s="1045"/>
      <c r="L808" s="1045"/>
      <c r="M808" s="1045"/>
    </row>
    <row r="809" spans="1:13" x14ac:dyDescent="0.2">
      <c r="A809" s="693">
        <v>805</v>
      </c>
      <c r="B809" s="749" t="str">
        <f t="shared" si="13"/>
        <v>Flat-rolled products of iron or non-alloy steel, of a width of &gt;= 600 mm, not in coils, simply hot-rolled, not clad, plated or coated, of a thickness of &lt; 3 mm, without patterns in relief</v>
      </c>
      <c r="C809" s="749" t="s">
        <v>1789</v>
      </c>
      <c r="D809" s="1045"/>
      <c r="E809" s="1045"/>
      <c r="F809" s="1045"/>
      <c r="G809" s="1045"/>
      <c r="H809" s="1045"/>
      <c r="I809" s="1045"/>
      <c r="J809" s="1045"/>
      <c r="K809" s="1045"/>
      <c r="L809" s="1045"/>
      <c r="M809" s="1045"/>
    </row>
    <row r="810" spans="1:13" x14ac:dyDescent="0.2">
      <c r="A810" s="693">
        <v>806</v>
      </c>
      <c r="B810" s="749" t="str">
        <f t="shared" si="13"/>
        <v>Flat-rolled products of iron or steel, of a width &gt;= 600 mm, hot-rolled and further worked, but not clad, plated or coated</v>
      </c>
      <c r="C810" s="749" t="s">
        <v>1791</v>
      </c>
      <c r="D810" s="1045"/>
      <c r="E810" s="1045"/>
      <c r="F810" s="1045"/>
      <c r="G810" s="1045"/>
      <c r="H810" s="1045"/>
      <c r="I810" s="1045"/>
      <c r="J810" s="1045"/>
      <c r="K810" s="1045"/>
      <c r="L810" s="1045"/>
      <c r="M810" s="1045"/>
    </row>
    <row r="811" spans="1:13" x14ac:dyDescent="0.2">
      <c r="A811" s="693">
        <v>807</v>
      </c>
      <c r="B811" s="749" t="str">
        <f t="shared" si="13"/>
        <v>Flat-rolled products of iron or steel, of a width &gt;= 600 mm, hot-rolled and further worked, but not clad, plated or coated, perforated</v>
      </c>
      <c r="C811" s="749" t="s">
        <v>1793</v>
      </c>
      <c r="D811" s="1045"/>
      <c r="E811" s="1045"/>
      <c r="F811" s="1045"/>
      <c r="G811" s="1045"/>
      <c r="H811" s="1045"/>
      <c r="I811" s="1045"/>
      <c r="J811" s="1045"/>
      <c r="K811" s="1045"/>
      <c r="L811" s="1045"/>
      <c r="M811" s="1045"/>
    </row>
    <row r="812" spans="1:13" x14ac:dyDescent="0.2">
      <c r="A812" s="693">
        <v>808</v>
      </c>
      <c r="B812" s="749" t="str">
        <f t="shared" si="13"/>
        <v>Flat-rolled products of iron or steel, of a width &gt;= 600 mm, hot-rolled and further worked, but not clad, plated or coated, non-perforated</v>
      </c>
      <c r="C812" s="749" t="s">
        <v>1795</v>
      </c>
      <c r="D812" s="1045"/>
      <c r="E812" s="1045"/>
      <c r="F812" s="1045"/>
      <c r="G812" s="1045"/>
      <c r="H812" s="1045"/>
      <c r="I812" s="1045"/>
      <c r="J812" s="1045"/>
      <c r="K812" s="1045"/>
      <c r="L812" s="1045"/>
      <c r="M812" s="1045"/>
    </row>
    <row r="813" spans="1:13" x14ac:dyDescent="0.2">
      <c r="A813" s="693">
        <v>809</v>
      </c>
      <c r="B813" s="749" t="str">
        <f t="shared" si="13"/>
        <v>Flat-rolled products of iron or non-alloy steel, of a width of &gt;= 600 mm, cold-rolled "cold-reduced", not clad, plated or coated</v>
      </c>
      <c r="C813" s="749" t="s">
        <v>1797</v>
      </c>
      <c r="D813" s="1045"/>
      <c r="E813" s="1045"/>
      <c r="F813" s="1045"/>
      <c r="G813" s="1045"/>
      <c r="H813" s="1045"/>
      <c r="I813" s="1045"/>
      <c r="J813" s="1045"/>
      <c r="K813" s="1045"/>
      <c r="L813" s="1045"/>
      <c r="M813" s="1045"/>
    </row>
    <row r="814" spans="1:13" x14ac:dyDescent="0.2">
      <c r="A814" s="693">
        <v>810</v>
      </c>
      <c r="B814" s="749" t="str">
        <f t="shared" si="13"/>
        <v>Flat-rolled products of iron or non-alloy steel, of a width of &gt;= 600 mm, in coils, simply cold-rolled "cold-reduced", not clad, plated or coated, of a thickness of &gt;= 3 mm</v>
      </c>
      <c r="C814" s="749" t="s">
        <v>1799</v>
      </c>
      <c r="D814" s="1045"/>
      <c r="E814" s="1045"/>
      <c r="F814" s="1045"/>
      <c r="G814" s="1045"/>
      <c r="H814" s="1045"/>
      <c r="I814" s="1045"/>
      <c r="J814" s="1045"/>
      <c r="K814" s="1045"/>
      <c r="L814" s="1045"/>
      <c r="M814" s="1045"/>
    </row>
    <row r="815" spans="1:13" x14ac:dyDescent="0.2">
      <c r="A815" s="693">
        <v>811</v>
      </c>
      <c r="B815" s="749" t="str">
        <f t="shared" si="13"/>
        <v>Flat-rolled products of iron or non-alloy steel, of a width of &gt;= 600 mm, in coils, simply cold-rolled "cold-reduced", not clad, plated or coated, of a thickness of &gt; 1 mm but &lt; 3 mm</v>
      </c>
      <c r="C815" s="749" t="s">
        <v>1801</v>
      </c>
      <c r="D815" s="1045"/>
      <c r="E815" s="1045"/>
      <c r="F815" s="1045"/>
      <c r="G815" s="1045"/>
      <c r="H815" s="1045"/>
      <c r="I815" s="1045"/>
      <c r="J815" s="1045"/>
      <c r="K815" s="1045"/>
      <c r="L815" s="1045"/>
      <c r="M815" s="1045"/>
    </row>
    <row r="816" spans="1:13" x14ac:dyDescent="0.2">
      <c r="A816" s="693">
        <v>812</v>
      </c>
      <c r="B816" s="749" t="str">
        <f t="shared" si="13"/>
        <v>Flat-rolled products of iron or non-alloy steel, of a width of &gt;= 600 mm, in coils, simply cold-rolled "cold-reduced", of a thickness of &gt; 1 mm but &lt; 3 mm "electrical"</v>
      </c>
      <c r="C816" s="749" t="s">
        <v>1803</v>
      </c>
      <c r="D816" s="1045"/>
      <c r="E816" s="1045"/>
      <c r="F816" s="1045"/>
      <c r="G816" s="1045"/>
      <c r="H816" s="1045"/>
      <c r="I816" s="1045"/>
      <c r="J816" s="1045"/>
      <c r="K816" s="1045"/>
      <c r="L816" s="1045"/>
      <c r="M816" s="1045"/>
    </row>
    <row r="817" spans="1:13" x14ac:dyDescent="0.2">
      <c r="A817" s="693">
        <v>813</v>
      </c>
      <c r="B817" s="749" t="str">
        <f t="shared" si="13"/>
        <v>Flat-rolled products of iron or non-alloy steel, of a width of &gt;= 600 mm, in coils, simply cold-rolled "cold-reduced", not clad, plated or coated, of a thickness of &gt; 1 mm but &lt; 3 mm (excl. electrical)</v>
      </c>
      <c r="C817" s="749" t="s">
        <v>1805</v>
      </c>
      <c r="D817" s="1045"/>
      <c r="E817" s="1045"/>
      <c r="F817" s="1045"/>
      <c r="G817" s="1045"/>
      <c r="H817" s="1045"/>
      <c r="I817" s="1045"/>
      <c r="J817" s="1045"/>
      <c r="K817" s="1045"/>
      <c r="L817" s="1045"/>
      <c r="M817" s="1045"/>
    </row>
    <row r="818" spans="1:13" x14ac:dyDescent="0.2">
      <c r="A818" s="693">
        <v>814</v>
      </c>
      <c r="B818" s="749" t="str">
        <f t="shared" si="13"/>
        <v>Flat-rolled products of iron or non-alloy steel, of a width of &gt;= 600 mm, in coils, simply cold-rolled "cold-reduced", not clad, plated or coated, of a thickness of &gt;= 0,5 mm but &lt;= 1 mm</v>
      </c>
      <c r="C818" s="749" t="s">
        <v>1807</v>
      </c>
      <c r="D818" s="1045"/>
      <c r="E818" s="1045"/>
      <c r="F818" s="1045"/>
      <c r="G818" s="1045"/>
      <c r="H818" s="1045"/>
      <c r="I818" s="1045"/>
      <c r="J818" s="1045"/>
      <c r="K818" s="1045"/>
      <c r="L818" s="1045"/>
      <c r="M818" s="1045"/>
    </row>
    <row r="819" spans="1:13" x14ac:dyDescent="0.2">
      <c r="A819" s="693">
        <v>815</v>
      </c>
      <c r="B819" s="749" t="str">
        <f t="shared" si="13"/>
        <v>Flat-rolled products of iron or non-alloy steel, of a width of &gt;= 600 mm, in coils, simply cold-rolled "cold-reduced", of a thickness of &gt;= 0,5 mm but &lt;= 1 mm "electrical"</v>
      </c>
      <c r="C819" s="749" t="s">
        <v>1809</v>
      </c>
      <c r="D819" s="1045"/>
      <c r="E819" s="1045"/>
      <c r="F819" s="1045"/>
      <c r="G819" s="1045"/>
      <c r="H819" s="1045"/>
      <c r="I819" s="1045"/>
      <c r="J819" s="1045"/>
      <c r="K819" s="1045"/>
      <c r="L819" s="1045"/>
      <c r="M819" s="1045"/>
    </row>
    <row r="820" spans="1:13" x14ac:dyDescent="0.2">
      <c r="A820" s="693">
        <v>816</v>
      </c>
      <c r="B820" s="749" t="str">
        <f t="shared" si="13"/>
        <v>Flat-rolled products of iron or non-alloy steel, of a width of &gt;= 600 mm, in coils, simply cold-rolled "cold-reduced", not clad, plated or coated, of a thickness of &gt;= 0,5 mm but &lt;= 1 mm (excl. electrical)</v>
      </c>
      <c r="C820" s="749" t="s">
        <v>1811</v>
      </c>
      <c r="D820" s="1045"/>
      <c r="E820" s="1045"/>
      <c r="F820" s="1045"/>
      <c r="G820" s="1045"/>
      <c r="H820" s="1045"/>
      <c r="I820" s="1045"/>
      <c r="J820" s="1045"/>
      <c r="K820" s="1045"/>
      <c r="L820" s="1045"/>
      <c r="M820" s="1045"/>
    </row>
    <row r="821" spans="1:13" x14ac:dyDescent="0.2">
      <c r="A821" s="693">
        <v>817</v>
      </c>
      <c r="B821" s="749" t="str">
        <f t="shared" si="13"/>
        <v>Flat-rolled products of iron or non-alloy steel, of a width of &gt;= 600 mm, in coils, simply cold-rolled "cold-reduced", not clad, plated or coated, of a thickness of &lt; 0,5 mm</v>
      </c>
      <c r="C821" s="749" t="s">
        <v>1813</v>
      </c>
      <c r="D821" s="1045"/>
      <c r="E821" s="1045"/>
      <c r="F821" s="1045"/>
      <c r="G821" s="1045"/>
      <c r="H821" s="1045"/>
      <c r="I821" s="1045"/>
      <c r="J821" s="1045"/>
      <c r="K821" s="1045"/>
      <c r="L821" s="1045"/>
      <c r="M821" s="1045"/>
    </row>
    <row r="822" spans="1:13" x14ac:dyDescent="0.2">
      <c r="A822" s="693">
        <v>818</v>
      </c>
      <c r="B822" s="749" t="str">
        <f t="shared" si="13"/>
        <v>Flat-rolled products of iron or non-alloy steel, of a width of &gt;= 600 mm, in coils, simply cold-rolled "cold-reduced", of a thickness of &lt; 0,5 mm "electrical"</v>
      </c>
      <c r="C822" s="749" t="s">
        <v>1815</v>
      </c>
      <c r="D822" s="1045"/>
      <c r="E822" s="1045"/>
      <c r="F822" s="1045"/>
      <c r="G822" s="1045"/>
      <c r="H822" s="1045"/>
      <c r="I822" s="1045"/>
      <c r="J822" s="1045"/>
      <c r="K822" s="1045"/>
      <c r="L822" s="1045"/>
      <c r="M822" s="1045"/>
    </row>
    <row r="823" spans="1:13" x14ac:dyDescent="0.2">
      <c r="A823" s="693">
        <v>819</v>
      </c>
      <c r="B823" s="749" t="str">
        <f t="shared" si="13"/>
        <v>Flat-rolled products of iron or non-alloy steel, of a width of &gt;= 600 mm, in coils, simply cold-rolled "cold-reduced", not clad, plated or coated, of a thickness of &gt;= 0,35 mm but &lt; 0,5 mm (excl. electrical)</v>
      </c>
      <c r="C823" s="749" t="s">
        <v>1817</v>
      </c>
      <c r="D823" s="1045"/>
      <c r="E823" s="1045"/>
      <c r="F823" s="1045"/>
      <c r="G823" s="1045"/>
      <c r="H823" s="1045"/>
      <c r="I823" s="1045"/>
      <c r="J823" s="1045"/>
      <c r="K823" s="1045"/>
      <c r="L823" s="1045"/>
      <c r="M823" s="1045"/>
    </row>
    <row r="824" spans="1:13" x14ac:dyDescent="0.2">
      <c r="A824" s="693">
        <v>820</v>
      </c>
      <c r="B824" s="749" t="str">
        <f t="shared" si="13"/>
        <v>Flat-rolled products of iron or non-alloy steel, of a width of &gt;= 600 mm, in coils, simply cold-rolled "cold-reduced", not clad, plated or coated, of a thickness of &lt; 0,35 mm (excl. electrical)</v>
      </c>
      <c r="C824" s="749" t="s">
        <v>1819</v>
      </c>
      <c r="D824" s="1045"/>
      <c r="E824" s="1045"/>
      <c r="F824" s="1045"/>
      <c r="G824" s="1045"/>
      <c r="H824" s="1045"/>
      <c r="I824" s="1045"/>
      <c r="J824" s="1045"/>
      <c r="K824" s="1045"/>
      <c r="L824" s="1045"/>
      <c r="M824" s="1045"/>
    </row>
    <row r="825" spans="1:13" x14ac:dyDescent="0.2">
      <c r="A825" s="693">
        <v>821</v>
      </c>
      <c r="B825" s="749" t="str">
        <f t="shared" si="13"/>
        <v>Flat-rolled products of iron or non-alloy steel, of a width of &gt;= 600 mm, not in coils, simply cold-rolled "cold-reduced", not clad, plated or coated, of a thickness of &gt;= 3 mm</v>
      </c>
      <c r="C825" s="749" t="s">
        <v>1821</v>
      </c>
      <c r="D825" s="1045"/>
      <c r="E825" s="1045"/>
      <c r="F825" s="1045"/>
      <c r="G825" s="1045"/>
      <c r="H825" s="1045"/>
      <c r="I825" s="1045"/>
      <c r="J825" s="1045"/>
      <c r="K825" s="1045"/>
      <c r="L825" s="1045"/>
      <c r="M825" s="1045"/>
    </row>
    <row r="826" spans="1:13" x14ac:dyDescent="0.2">
      <c r="A826" s="693">
        <v>822</v>
      </c>
      <c r="B826" s="749" t="str">
        <f t="shared" si="13"/>
        <v>Flat-rolled products of iron or non-alloy steel, of a width of &gt;= 600 mm, not in coils, simply cold-rolled "cold-reduced", not clad, plated or coated, of a thickness of &gt; 1 mm but &lt; 3 mm</v>
      </c>
      <c r="C826" s="749" t="s">
        <v>1823</v>
      </c>
      <c r="D826" s="1045"/>
      <c r="E826" s="1045"/>
      <c r="F826" s="1045"/>
      <c r="G826" s="1045"/>
      <c r="H826" s="1045"/>
      <c r="I826" s="1045"/>
      <c r="J826" s="1045"/>
      <c r="K826" s="1045"/>
      <c r="L826" s="1045"/>
      <c r="M826" s="1045"/>
    </row>
    <row r="827" spans="1:13" x14ac:dyDescent="0.2">
      <c r="A827" s="693">
        <v>823</v>
      </c>
      <c r="B827" s="749" t="str">
        <f t="shared" si="13"/>
        <v>Flat-rolled products of iron or non-alloy steel, of a width of &gt;= 600 mm, not in coils, simply cold-rolled "cold-reduced", of a thickness of &gt; 1 mm but &lt; 3 mm "electrical"</v>
      </c>
      <c r="C827" s="749" t="s">
        <v>1825</v>
      </c>
      <c r="D827" s="1045"/>
      <c r="E827" s="1045"/>
      <c r="F827" s="1045"/>
      <c r="G827" s="1045"/>
      <c r="H827" s="1045"/>
      <c r="I827" s="1045"/>
      <c r="J827" s="1045"/>
      <c r="K827" s="1045"/>
      <c r="L827" s="1045"/>
      <c r="M827" s="1045"/>
    </row>
    <row r="828" spans="1:13" x14ac:dyDescent="0.2">
      <c r="A828" s="693">
        <v>824</v>
      </c>
      <c r="B828" s="749" t="str">
        <f t="shared" si="13"/>
        <v>Flat-rolled products of iron or non-alloy steel, of a width of &gt;= 600 mm, not in coils, simply cold-rolled "cold-reduced", not clad, plated or coated, of a thickness of &gt; 1 mm but &lt; 3 mm (excl. electrical)</v>
      </c>
      <c r="C828" s="749" t="s">
        <v>1827</v>
      </c>
      <c r="D828" s="1045"/>
      <c r="E828" s="1045"/>
      <c r="F828" s="1045"/>
      <c r="G828" s="1045"/>
      <c r="H828" s="1045"/>
      <c r="I828" s="1045"/>
      <c r="J828" s="1045"/>
      <c r="K828" s="1045"/>
      <c r="L828" s="1045"/>
      <c r="M828" s="1045"/>
    </row>
    <row r="829" spans="1:13" x14ac:dyDescent="0.2">
      <c r="A829" s="693">
        <v>825</v>
      </c>
      <c r="B829" s="749" t="str">
        <f t="shared" si="13"/>
        <v>Flat-rolled products of iron or non-alloy steel, of a width of &gt;= 600 mm, not in coils, simply cold-rolled "cold-reduced", not clad, plated or coated, of a thickness of &gt;= 0,5 mm but &lt;= 1 mm</v>
      </c>
      <c r="C829" s="749" t="s">
        <v>1829</v>
      </c>
      <c r="D829" s="1045"/>
      <c r="E829" s="1045"/>
      <c r="F829" s="1045"/>
      <c r="G829" s="1045"/>
      <c r="H829" s="1045"/>
      <c r="I829" s="1045"/>
      <c r="J829" s="1045"/>
      <c r="K829" s="1045"/>
      <c r="L829" s="1045"/>
      <c r="M829" s="1045"/>
    </row>
    <row r="830" spans="1:13" x14ac:dyDescent="0.2">
      <c r="A830" s="693">
        <v>826</v>
      </c>
      <c r="B830" s="749" t="str">
        <f t="shared" si="13"/>
        <v>Flat-rolled products of iron or non-alloy steel, of a width of &gt;= 600 mm, not in coils, simply cold-rolled "cold-reduced", of a thickness of &gt;= 0,5 mm but &lt;= 1 mm "electrical"</v>
      </c>
      <c r="C830" s="749" t="s">
        <v>1831</v>
      </c>
      <c r="D830" s="1045"/>
      <c r="E830" s="1045"/>
      <c r="F830" s="1045"/>
      <c r="G830" s="1045"/>
      <c r="H830" s="1045"/>
      <c r="I830" s="1045"/>
      <c r="J830" s="1045"/>
      <c r="K830" s="1045"/>
      <c r="L830" s="1045"/>
      <c r="M830" s="1045"/>
    </row>
    <row r="831" spans="1:13" x14ac:dyDescent="0.2">
      <c r="A831" s="693">
        <v>827</v>
      </c>
      <c r="B831" s="749" t="str">
        <f t="shared" si="13"/>
        <v>Flat-rolled products of iron or non-alloy steel, of a width of &gt;= 600 mm, not in coils, simply cold-rolled "cold-reduced", not clad, plated or coated, of a thickness of &gt;= 0,5 mm but &lt;= 1 mm (excl. electrical)</v>
      </c>
      <c r="C831" s="749" t="s">
        <v>1833</v>
      </c>
      <c r="D831" s="1045"/>
      <c r="E831" s="1045"/>
      <c r="F831" s="1045"/>
      <c r="G831" s="1045"/>
      <c r="H831" s="1045"/>
      <c r="I831" s="1045"/>
      <c r="J831" s="1045"/>
      <c r="K831" s="1045"/>
      <c r="L831" s="1045"/>
      <c r="M831" s="1045"/>
    </row>
    <row r="832" spans="1:13" x14ac:dyDescent="0.2">
      <c r="A832" s="693">
        <v>828</v>
      </c>
      <c r="B832" s="749" t="str">
        <f t="shared" si="13"/>
        <v>Flat-rolled products of iron or non-alloy steel, of a width of &gt;= 600 mm, not in coils, simply cold-rolled "cold-reduced", not clad, plated or coated, of a thickness of &lt; 0,5 mm</v>
      </c>
      <c r="C832" s="749" t="s">
        <v>1835</v>
      </c>
      <c r="D832" s="1045"/>
      <c r="E832" s="1045"/>
      <c r="F832" s="1045"/>
      <c r="G832" s="1045"/>
      <c r="H832" s="1045"/>
      <c r="I832" s="1045"/>
      <c r="J832" s="1045"/>
      <c r="K832" s="1045"/>
      <c r="L832" s="1045"/>
      <c r="M832" s="1045"/>
    </row>
    <row r="833" spans="1:13" x14ac:dyDescent="0.2">
      <c r="A833" s="693">
        <v>829</v>
      </c>
      <c r="B833" s="749" t="str">
        <f t="shared" si="13"/>
        <v>Flat-rolled products of iron or non-alloy steel, of a width of &gt;= 600 mm, not in coils, simply cold-rolled "cold-reduced", of a thickness of &lt; 0,5 mm "electrical"</v>
      </c>
      <c r="C833" s="749" t="s">
        <v>1837</v>
      </c>
      <c r="D833" s="1045"/>
      <c r="E833" s="1045"/>
      <c r="F833" s="1045"/>
      <c r="G833" s="1045"/>
      <c r="H833" s="1045"/>
      <c r="I833" s="1045"/>
      <c r="J833" s="1045"/>
      <c r="K833" s="1045"/>
      <c r="L833" s="1045"/>
      <c r="M833" s="1045"/>
    </row>
    <row r="834" spans="1:13" x14ac:dyDescent="0.2">
      <c r="A834" s="693">
        <v>830</v>
      </c>
      <c r="B834" s="749" t="str">
        <f t="shared" si="13"/>
        <v>Flat-rolled products of iron or non-alloy steel, of a width of &gt;= 600 mm, not in coils, simply cold-rolled "cold-reduced", not clad, plated or coated, of a thickness of &lt; 0,5 mm (excl. electrical)</v>
      </c>
      <c r="C834" s="749" t="s">
        <v>1839</v>
      </c>
      <c r="D834" s="1045"/>
      <c r="E834" s="1045"/>
      <c r="F834" s="1045"/>
      <c r="G834" s="1045"/>
      <c r="H834" s="1045"/>
      <c r="I834" s="1045"/>
      <c r="J834" s="1045"/>
      <c r="K834" s="1045"/>
      <c r="L834" s="1045"/>
      <c r="M834" s="1045"/>
    </row>
    <row r="835" spans="1:13" x14ac:dyDescent="0.2">
      <c r="A835" s="693">
        <v>831</v>
      </c>
      <c r="B835" s="749" t="str">
        <f t="shared" si="13"/>
        <v>Flat-rolled products of iron or steel, of a width of &gt;= 600 mm, cold-rolled "cold-reduced", and further worked, but not clad, plated or coated</v>
      </c>
      <c r="C835" s="749" t="s">
        <v>1841</v>
      </c>
      <c r="D835" s="1045"/>
      <c r="E835" s="1045"/>
      <c r="F835" s="1045"/>
      <c r="G835" s="1045"/>
      <c r="H835" s="1045"/>
      <c r="I835" s="1045"/>
      <c r="J835" s="1045"/>
      <c r="K835" s="1045"/>
      <c r="L835" s="1045"/>
      <c r="M835" s="1045"/>
    </row>
    <row r="836" spans="1:13" x14ac:dyDescent="0.2">
      <c r="A836" s="693">
        <v>832</v>
      </c>
      <c r="B836" s="749" t="str">
        <f t="shared" si="13"/>
        <v>Flat-rolled products of iron or steel, of a width of &gt;= 600 mm, cold-rolled "cold-reduced" and further worked, but not clad, plated or coated, perforated</v>
      </c>
      <c r="C836" s="749" t="s">
        <v>1843</v>
      </c>
      <c r="D836" s="1045"/>
      <c r="E836" s="1045"/>
      <c r="F836" s="1045"/>
      <c r="G836" s="1045"/>
      <c r="H836" s="1045"/>
      <c r="I836" s="1045"/>
      <c r="J836" s="1045"/>
      <c r="K836" s="1045"/>
      <c r="L836" s="1045"/>
      <c r="M836" s="1045"/>
    </row>
    <row r="837" spans="1:13" x14ac:dyDescent="0.2">
      <c r="A837" s="693">
        <v>833</v>
      </c>
      <c r="B837" s="749" t="str">
        <f t="shared" si="13"/>
        <v>Flat-rolled products of iron or steel, of a width of &gt;= 600 mm, cold-rolled "cold-reduced" and further worked, but not clad, plated or coated, non-perforated</v>
      </c>
      <c r="C837" s="749" t="s">
        <v>1845</v>
      </c>
      <c r="D837" s="1045"/>
      <c r="E837" s="1045"/>
      <c r="F837" s="1045"/>
      <c r="G837" s="1045"/>
      <c r="H837" s="1045"/>
      <c r="I837" s="1045"/>
      <c r="J837" s="1045"/>
      <c r="K837" s="1045"/>
      <c r="L837" s="1045"/>
      <c r="M837" s="1045"/>
    </row>
    <row r="838" spans="1:13" x14ac:dyDescent="0.2">
      <c r="A838" s="693">
        <v>834</v>
      </c>
      <c r="B838" s="749" t="str">
        <f t="shared" si="13"/>
        <v>Flat-rolled products of iron or non-alloy steel, of a width &gt;= 600 mm, hot-rolled or cold-rolled "cold-reduced", clad, plated or coated</v>
      </c>
      <c r="C838" s="749" t="s">
        <v>1847</v>
      </c>
      <c r="D838" s="1045"/>
      <c r="E838" s="1045"/>
      <c r="F838" s="1045"/>
      <c r="G838" s="1045"/>
      <c r="H838" s="1045"/>
      <c r="I838" s="1045"/>
      <c r="J838" s="1045"/>
      <c r="K838" s="1045"/>
      <c r="L838" s="1045"/>
      <c r="M838" s="1045"/>
    </row>
    <row r="839" spans="1:13" x14ac:dyDescent="0.2">
      <c r="A839" s="693">
        <v>835</v>
      </c>
      <c r="B839" s="749" t="str">
        <f t="shared" si="13"/>
        <v>Flat-rolled products of iron or non-alloy steel, of a width of &gt;= 600 mm, hot-rolled or cold-rolled "cold-reduced", tinned, of a thickness of &gt;= 0,5 mm</v>
      </c>
      <c r="C839" s="749" t="s">
        <v>1849</v>
      </c>
      <c r="D839" s="1045"/>
      <c r="E839" s="1045"/>
      <c r="F839" s="1045"/>
      <c r="G839" s="1045"/>
      <c r="H839" s="1045"/>
      <c r="I839" s="1045"/>
      <c r="J839" s="1045"/>
      <c r="K839" s="1045"/>
      <c r="L839" s="1045"/>
      <c r="M839" s="1045"/>
    </row>
    <row r="840" spans="1:13" x14ac:dyDescent="0.2">
      <c r="A840" s="693">
        <v>836</v>
      </c>
      <c r="B840" s="749" t="str">
        <f t="shared" si="13"/>
        <v>Flat-rolled products of iron or non-alloy steel, of a width of &gt;= 600 mm, hot-rolled or cold-rolled "cold-reduced", tinned, of a thickness of &lt; 0,5 mm</v>
      </c>
      <c r="C840" s="749" t="s">
        <v>1851</v>
      </c>
      <c r="D840" s="1045"/>
      <c r="E840" s="1045"/>
      <c r="F840" s="1045"/>
      <c r="G840" s="1045"/>
      <c r="H840" s="1045"/>
      <c r="I840" s="1045"/>
      <c r="J840" s="1045"/>
      <c r="K840" s="1045"/>
      <c r="L840" s="1045"/>
      <c r="M840" s="1045"/>
    </row>
    <row r="841" spans="1:13" x14ac:dyDescent="0.2">
      <c r="A841" s="693">
        <v>837</v>
      </c>
      <c r="B841" s="749" t="str">
        <f t="shared" si="13"/>
        <v>Tinplate of iron or non-alloy steel, of a width of &gt;= 600 mm and of a thickness of &lt; 0,5 mm, tinned [coated with a layer of metal containing, by weight,  &gt;= 97% of tin], not further worked than surface-treated</v>
      </c>
      <c r="C841" s="749" t="s">
        <v>1853</v>
      </c>
      <c r="D841" s="1045"/>
      <c r="E841" s="1045"/>
      <c r="F841" s="1045"/>
      <c r="G841" s="1045"/>
      <c r="H841" s="1045"/>
      <c r="I841" s="1045"/>
      <c r="J841" s="1045"/>
      <c r="K841" s="1045"/>
      <c r="L841" s="1045"/>
      <c r="M841" s="1045"/>
    </row>
    <row r="842" spans="1:13" x14ac:dyDescent="0.2">
      <c r="A842" s="693">
        <v>838</v>
      </c>
      <c r="B842" s="749" t="str">
        <f t="shared" si="13"/>
        <v>Flat-rolled products of iron or non-alloy steel, of a width of &gt;= 600 mm, hot-rolled or cold-rolled "cold-reduced", plated or coated with tin, of a thickness of &lt; 0,5 mm (excl. tinplate)</v>
      </c>
      <c r="C842" s="749" t="s">
        <v>1855</v>
      </c>
      <c r="D842" s="1045"/>
      <c r="E842" s="1045"/>
      <c r="F842" s="1045"/>
      <c r="G842" s="1045"/>
      <c r="H842" s="1045"/>
      <c r="I842" s="1045"/>
      <c r="J842" s="1045"/>
      <c r="K842" s="1045"/>
      <c r="L842" s="1045"/>
      <c r="M842" s="1045"/>
    </row>
    <row r="843" spans="1:13" x14ac:dyDescent="0.2">
      <c r="A843" s="693">
        <v>839</v>
      </c>
      <c r="B843" s="749" t="str">
        <f t="shared" ref="B843:B906" si="14">IFERROR(INDEX(C843:M843,$A$4-2),$C843)</f>
        <v>Flat-rolled products of iron or non-alloy steel, of a width of &gt;= 600 mm, hot-rolled or cold-rolled "cold-reduced", plated or coated with lead, incl. terne-plate</v>
      </c>
      <c r="C843" s="749" t="s">
        <v>1857</v>
      </c>
      <c r="D843" s="1045"/>
      <c r="E843" s="1045"/>
      <c r="F843" s="1045"/>
      <c r="G843" s="1045"/>
      <c r="H843" s="1045"/>
      <c r="I843" s="1045"/>
      <c r="J843" s="1045"/>
      <c r="K843" s="1045"/>
      <c r="L843" s="1045"/>
      <c r="M843" s="1045"/>
    </row>
    <row r="844" spans="1:13" x14ac:dyDescent="0.2">
      <c r="A844" s="693">
        <v>840</v>
      </c>
      <c r="B844" s="749" t="str">
        <f t="shared" si="14"/>
        <v>Flat-rolled products of iron or non-alloy steel, of a width of &gt;= 600 mm, hot-rolled or cold-rolled "cold-reduced", electrolytically plated or coated with zinc</v>
      </c>
      <c r="C844" s="749" t="s">
        <v>1859</v>
      </c>
      <c r="D844" s="1045"/>
      <c r="E844" s="1045"/>
      <c r="F844" s="1045"/>
      <c r="G844" s="1045"/>
      <c r="H844" s="1045"/>
      <c r="I844" s="1045"/>
      <c r="J844" s="1045"/>
      <c r="K844" s="1045"/>
      <c r="L844" s="1045"/>
      <c r="M844" s="1045"/>
    </row>
    <row r="845" spans="1:13" x14ac:dyDescent="0.2">
      <c r="A845" s="693">
        <v>841</v>
      </c>
      <c r="B845" s="749" t="str">
        <f t="shared" si="14"/>
        <v>Flat-rolled products of iron or non-alloy steel, of a width of &gt;= 600 mm, hot-rolled or cold-rolled "cold-reduced", corrugated, plated or coated with zinc (excl. electrolytically plated or coated with zinc)</v>
      </c>
      <c r="C845" s="749" t="s">
        <v>1861</v>
      </c>
      <c r="D845" s="1045"/>
      <c r="E845" s="1045"/>
      <c r="F845" s="1045"/>
      <c r="G845" s="1045"/>
      <c r="H845" s="1045"/>
      <c r="I845" s="1045"/>
      <c r="J845" s="1045"/>
      <c r="K845" s="1045"/>
      <c r="L845" s="1045"/>
      <c r="M845" s="1045"/>
    </row>
    <row r="846" spans="1:13" x14ac:dyDescent="0.2">
      <c r="A846" s="693">
        <v>842</v>
      </c>
      <c r="B846" s="749" t="str">
        <f t="shared" si="14"/>
        <v>Flat-rolled products of iron or non-alloy steel, of a width of &gt;= 600 mm, hot-rolled or cold-rolled "cold-reduced", not corrugated, plated or coated with zinc (excl. electrolytically plated or coated with zinc)</v>
      </c>
      <c r="C846" s="749" t="s">
        <v>1863</v>
      </c>
      <c r="D846" s="1045"/>
      <c r="E846" s="1045"/>
      <c r="F846" s="1045"/>
      <c r="G846" s="1045"/>
      <c r="H846" s="1045"/>
      <c r="I846" s="1045"/>
      <c r="J846" s="1045"/>
      <c r="K846" s="1045"/>
      <c r="L846" s="1045"/>
      <c r="M846" s="1045"/>
    </row>
    <row r="847" spans="1:13" x14ac:dyDescent="0.2">
      <c r="A847" s="693">
        <v>843</v>
      </c>
      <c r="B847" s="749" t="str">
        <f t="shared" si="14"/>
        <v>Flat-rolled products of iron or non-alloy steel, of a width of &gt;= 600 mm, hot-rolled or cold-rolled "cold-reduced", plated or coated with chromium oxides or with chromium and chromium oxides</v>
      </c>
      <c r="C847" s="749" t="s">
        <v>1865</v>
      </c>
      <c r="D847" s="1045"/>
      <c r="E847" s="1045"/>
      <c r="F847" s="1045"/>
      <c r="G847" s="1045"/>
      <c r="H847" s="1045"/>
      <c r="I847" s="1045"/>
      <c r="J847" s="1045"/>
      <c r="K847" s="1045"/>
      <c r="L847" s="1045"/>
      <c r="M847" s="1045"/>
    </row>
    <row r="848" spans="1:13" x14ac:dyDescent="0.2">
      <c r="A848" s="693">
        <v>844</v>
      </c>
      <c r="B848" s="749" t="str">
        <f t="shared" si="14"/>
        <v>Flat-rolled products of iron or non-alloy steel, of a width of &gt;= 600 mm, hot-rolled or cold-rolled "cold-reduced", plated or coated with aluminium-zinc alloys</v>
      </c>
      <c r="C848" s="749" t="s">
        <v>1867</v>
      </c>
      <c r="D848" s="1045"/>
      <c r="E848" s="1045"/>
      <c r="F848" s="1045"/>
      <c r="G848" s="1045"/>
      <c r="H848" s="1045"/>
      <c r="I848" s="1045"/>
      <c r="J848" s="1045"/>
      <c r="K848" s="1045"/>
      <c r="L848" s="1045"/>
      <c r="M848" s="1045"/>
    </row>
    <row r="849" spans="1:13" x14ac:dyDescent="0.2">
      <c r="A849" s="693">
        <v>845</v>
      </c>
      <c r="B849" s="749" t="str">
        <f t="shared" si="14"/>
        <v>Flat-rolled products of iron or non-alloy steel, of a width of &gt;= 600 mm, hot-rolled or cold-rolled "cold-reduced", plated or coated with aluminium (excl. products plated or coated with aluminium-zinc alloys)</v>
      </c>
      <c r="C849" s="749" t="s">
        <v>1869</v>
      </c>
      <c r="D849" s="1045"/>
      <c r="E849" s="1045"/>
      <c r="F849" s="1045"/>
      <c r="G849" s="1045"/>
      <c r="H849" s="1045"/>
      <c r="I849" s="1045"/>
      <c r="J849" s="1045"/>
      <c r="K849" s="1045"/>
      <c r="L849" s="1045"/>
      <c r="M849" s="1045"/>
    </row>
    <row r="850" spans="1:13" x14ac:dyDescent="0.2">
      <c r="A850" s="693">
        <v>846</v>
      </c>
      <c r="B850" s="749" t="str">
        <f t="shared" si="14"/>
        <v>Flat products of iron or non-alloy steel, of a width of &gt;= 600 mm, hot-rolled or cold-rolled "cold-reduced", painted, varnished or coated with plastics</v>
      </c>
      <c r="C850" s="749" t="s">
        <v>1871</v>
      </c>
      <c r="D850" s="1045"/>
      <c r="E850" s="1045"/>
      <c r="F850" s="1045"/>
      <c r="G850" s="1045"/>
      <c r="H850" s="1045"/>
      <c r="I850" s="1045"/>
      <c r="J850" s="1045"/>
      <c r="K850" s="1045"/>
      <c r="L850" s="1045"/>
      <c r="M850" s="1045"/>
    </row>
    <row r="851" spans="1:13" x14ac:dyDescent="0.2">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1873</v>
      </c>
      <c r="D851" s="1045"/>
      <c r="E851" s="1045"/>
      <c r="F851" s="1045"/>
      <c r="G851" s="1045"/>
      <c r="H851" s="1045"/>
      <c r="I851" s="1045"/>
      <c r="J851" s="1045"/>
      <c r="K851" s="1045"/>
      <c r="L851" s="1045"/>
      <c r="M851" s="1045"/>
    </row>
    <row r="852" spans="1:13" x14ac:dyDescent="0.2">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1875</v>
      </c>
      <c r="D852" s="1045"/>
      <c r="E852" s="1045"/>
      <c r="F852" s="1045"/>
      <c r="G852" s="1045"/>
      <c r="H852" s="1045"/>
      <c r="I852" s="1045"/>
      <c r="J852" s="1045"/>
      <c r="K852" s="1045"/>
      <c r="L852" s="1045"/>
      <c r="M852" s="1045"/>
    </row>
    <row r="853" spans="1:13" x14ac:dyDescent="0.2">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1877</v>
      </c>
      <c r="D853" s="1045"/>
      <c r="E853" s="1045"/>
      <c r="F853" s="1045"/>
      <c r="G853" s="1045"/>
      <c r="H853" s="1045"/>
      <c r="I853" s="1045"/>
      <c r="J853" s="1045"/>
      <c r="K853" s="1045"/>
      <c r="L853" s="1045"/>
      <c r="M853" s="1045"/>
    </row>
    <row r="854" spans="1:13" x14ac:dyDescent="0.2">
      <c r="A854" s="693">
        <v>850</v>
      </c>
      <c r="B854" s="749" t="str">
        <f t="shared" si="14"/>
        <v>Flat-rolled products of iron or non-alloy steel, of a width of &gt;= 600 mm, hot-rolled or cold-rolled "cold-reduced", clad</v>
      </c>
      <c r="C854" s="749" t="s">
        <v>1879</v>
      </c>
      <c r="D854" s="1045"/>
      <c r="E854" s="1045"/>
      <c r="F854" s="1045"/>
      <c r="G854" s="1045"/>
      <c r="H854" s="1045"/>
      <c r="I854" s="1045"/>
      <c r="J854" s="1045"/>
      <c r="K854" s="1045"/>
      <c r="L854" s="1045"/>
      <c r="M854" s="1045"/>
    </row>
    <row r="855" spans="1:13" x14ac:dyDescent="0.2">
      <c r="A855" s="693">
        <v>851</v>
      </c>
      <c r="B855" s="749" t="str">
        <f t="shared" si="14"/>
        <v>Flat-rolled products of iron or non-alloy steel, tinned and printed, of a width of &gt;= 600 mm, hot-rolled or cold-rolled "cold-reduced"</v>
      </c>
      <c r="C855" s="749" t="s">
        <v>1881</v>
      </c>
      <c r="D855" s="1045"/>
      <c r="E855" s="1045"/>
      <c r="F855" s="1045"/>
      <c r="G855" s="1045"/>
      <c r="H855" s="1045"/>
      <c r="I855" s="1045"/>
      <c r="J855" s="1045"/>
      <c r="K855" s="1045"/>
      <c r="L855" s="1045"/>
      <c r="M855" s="1045"/>
    </row>
    <row r="856" spans="1:13" x14ac:dyDescent="0.2">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1883</v>
      </c>
      <c r="D856" s="1045"/>
      <c r="E856" s="1045"/>
      <c r="F856" s="1045"/>
      <c r="G856" s="1045"/>
      <c r="H856" s="1045"/>
      <c r="I856" s="1045"/>
      <c r="J856" s="1045"/>
      <c r="K856" s="1045"/>
      <c r="L856" s="1045"/>
      <c r="M856" s="1045"/>
    </row>
    <row r="857" spans="1:13" x14ac:dyDescent="0.2">
      <c r="A857" s="693">
        <v>853</v>
      </c>
      <c r="B857" s="749" t="str">
        <f t="shared" si="14"/>
        <v>Flat-rolled products of iron or non-alloy steel, of a width of &lt; 600 mm, hot-rolled or cold-rolled "cold-reduced", not clad, plated or coated</v>
      </c>
      <c r="C857" s="749" t="s">
        <v>1885</v>
      </c>
      <c r="D857" s="1045"/>
      <c r="E857" s="1045"/>
      <c r="F857" s="1045"/>
      <c r="G857" s="1045"/>
      <c r="H857" s="1045"/>
      <c r="I857" s="1045"/>
      <c r="J857" s="1045"/>
      <c r="K857" s="1045"/>
      <c r="L857" s="1045"/>
      <c r="M857" s="1045"/>
    </row>
    <row r="858" spans="1:13" x14ac:dyDescent="0.2">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1887</v>
      </c>
      <c r="D858" s="1045"/>
      <c r="E858" s="1045"/>
      <c r="F858" s="1045"/>
      <c r="G858" s="1045"/>
      <c r="H858" s="1045"/>
      <c r="I858" s="1045"/>
      <c r="J858" s="1045"/>
      <c r="K858" s="1045"/>
      <c r="L858" s="1045"/>
      <c r="M858" s="1045"/>
    </row>
    <row r="859" spans="1:13" x14ac:dyDescent="0.2">
      <c r="A859" s="693">
        <v>855</v>
      </c>
      <c r="B859" s="749" t="str">
        <f t="shared" si="14"/>
        <v>Flat-rolled products of iron or non-alloy steel, of a width &lt; 600 mm, not further worked than hot-rolled, not clad, plated or coated, of a thickness of &gt;= 4,75 mm (excl. "wide flats")</v>
      </c>
      <c r="C859" s="749" t="s">
        <v>1889</v>
      </c>
      <c r="D859" s="1045"/>
      <c r="E859" s="1045"/>
      <c r="F859" s="1045"/>
      <c r="G859" s="1045"/>
      <c r="H859" s="1045"/>
      <c r="I859" s="1045"/>
      <c r="J859" s="1045"/>
      <c r="K859" s="1045"/>
      <c r="L859" s="1045"/>
      <c r="M859" s="1045"/>
    </row>
    <row r="860" spans="1:13" x14ac:dyDescent="0.2">
      <c r="A860" s="693">
        <v>856</v>
      </c>
      <c r="B860" s="749" t="str">
        <f t="shared" si="14"/>
        <v>Flat-rolled products of iron or non-alloy steel, of a width &lt; 600 mm, simply hot-rolled, not clad, plated or coated, of a thickness &lt; 4,75 mm (excl. "wide flats")</v>
      </c>
      <c r="C860" s="749" t="s">
        <v>1891</v>
      </c>
      <c r="D860" s="1045"/>
      <c r="E860" s="1045"/>
      <c r="F860" s="1045"/>
      <c r="G860" s="1045"/>
      <c r="H860" s="1045"/>
      <c r="I860" s="1045"/>
      <c r="J860" s="1045"/>
      <c r="K860" s="1045"/>
      <c r="L860" s="1045"/>
      <c r="M860" s="1045"/>
    </row>
    <row r="861" spans="1:13" x14ac:dyDescent="0.2">
      <c r="A861" s="693">
        <v>857</v>
      </c>
      <c r="B861" s="749" t="str">
        <f t="shared" si="14"/>
        <v>Flat-rolled products of iron or non-alloy steel, of a width of &lt; 600 mm, simply cold-rolled "cold-reduced", not clad, plated or coated, containing by weight &lt; 0,25% of carbon</v>
      </c>
      <c r="C861" s="749" t="s">
        <v>1893</v>
      </c>
      <c r="D861" s="1045"/>
      <c r="E861" s="1045"/>
      <c r="F861" s="1045"/>
      <c r="G861" s="1045"/>
      <c r="H861" s="1045"/>
      <c r="I861" s="1045"/>
      <c r="J861" s="1045"/>
      <c r="K861" s="1045"/>
      <c r="L861" s="1045"/>
      <c r="M861" s="1045"/>
    </row>
    <row r="862" spans="1:13" x14ac:dyDescent="0.2">
      <c r="A862" s="693">
        <v>858</v>
      </c>
      <c r="B862" s="749" t="str">
        <f t="shared" si="14"/>
        <v>Flat-rolled products of iron or non-alloy steel, of a width of &lt; 600 mm, simply cold-rolled "cold-reduced", not clad, plated or coated, containing by weight &lt; 0,25% of carbon "electrical"</v>
      </c>
      <c r="C862" s="749" t="s">
        <v>1895</v>
      </c>
      <c r="D862" s="1045"/>
      <c r="E862" s="1045"/>
      <c r="F862" s="1045"/>
      <c r="G862" s="1045"/>
      <c r="H862" s="1045"/>
      <c r="I862" s="1045"/>
      <c r="J862" s="1045"/>
      <c r="K862" s="1045"/>
      <c r="L862" s="1045"/>
      <c r="M862" s="1045"/>
    </row>
    <row r="863" spans="1:13" x14ac:dyDescent="0.2">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1897</v>
      </c>
      <c r="D863" s="1045"/>
      <c r="E863" s="1045"/>
      <c r="F863" s="1045"/>
      <c r="G863" s="1045"/>
      <c r="H863" s="1045"/>
      <c r="I863" s="1045"/>
      <c r="J863" s="1045"/>
      <c r="K863" s="1045"/>
      <c r="L863" s="1045"/>
      <c r="M863" s="1045"/>
    </row>
    <row r="864" spans="1:13" x14ac:dyDescent="0.2">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1899</v>
      </c>
      <c r="D864" s="1045"/>
      <c r="E864" s="1045"/>
      <c r="F864" s="1045"/>
      <c r="G864" s="1045"/>
      <c r="H864" s="1045"/>
      <c r="I864" s="1045"/>
      <c r="J864" s="1045"/>
      <c r="K864" s="1045"/>
      <c r="L864" s="1045"/>
      <c r="M864" s="1045"/>
    </row>
    <row r="865" spans="1:13" x14ac:dyDescent="0.2">
      <c r="A865" s="693">
        <v>861</v>
      </c>
      <c r="B865" s="749" t="str">
        <f t="shared" si="14"/>
        <v>Flat-rolled products of iron or non-alloy steel, of a width of &lt; 600 mm, simply cold-rolled "cold-reduced", not clad, plated or coated, containing by weight &gt;= 0,25% of carbon</v>
      </c>
      <c r="C865" s="749" t="s">
        <v>1901</v>
      </c>
      <c r="D865" s="1045"/>
      <c r="E865" s="1045"/>
      <c r="F865" s="1045"/>
      <c r="G865" s="1045"/>
      <c r="H865" s="1045"/>
      <c r="I865" s="1045"/>
      <c r="J865" s="1045"/>
      <c r="K865" s="1045"/>
      <c r="L865" s="1045"/>
      <c r="M865" s="1045"/>
    </row>
    <row r="866" spans="1:13" x14ac:dyDescent="0.2">
      <c r="A866" s="693">
        <v>862</v>
      </c>
      <c r="B866" s="749" t="str">
        <f t="shared" si="14"/>
        <v>Flat-rolled products of iron or non-alloy steel, of a width of &lt; 600 mm, hot-rolled or cold-rolled "cold-reduced" and further worked, but not clad, plated or coated</v>
      </c>
      <c r="C866" s="749" t="s">
        <v>1903</v>
      </c>
      <c r="D866" s="1045"/>
      <c r="E866" s="1045"/>
      <c r="F866" s="1045"/>
      <c r="G866" s="1045"/>
      <c r="H866" s="1045"/>
      <c r="I866" s="1045"/>
      <c r="J866" s="1045"/>
      <c r="K866" s="1045"/>
      <c r="L866" s="1045"/>
      <c r="M866" s="1045"/>
    </row>
    <row r="867" spans="1:13" x14ac:dyDescent="0.2">
      <c r="A867" s="693">
        <v>863</v>
      </c>
      <c r="B867" s="749" t="str">
        <f t="shared" si="14"/>
        <v>Flat-rolled products of iron or non-alloy steel, of a width of &lt; 600 mm, hot-rolled or cold-rolled "cold-reduced" and further worked, but not clad, plated or coated, perforated</v>
      </c>
      <c r="C867" s="749" t="s">
        <v>1905</v>
      </c>
      <c r="D867" s="1045"/>
      <c r="E867" s="1045"/>
      <c r="F867" s="1045"/>
      <c r="G867" s="1045"/>
      <c r="H867" s="1045"/>
      <c r="I867" s="1045"/>
      <c r="J867" s="1045"/>
      <c r="K867" s="1045"/>
      <c r="L867" s="1045"/>
      <c r="M867" s="1045"/>
    </row>
    <row r="868" spans="1:13" x14ac:dyDescent="0.2">
      <c r="A868" s="693">
        <v>864</v>
      </c>
      <c r="B868" s="749" t="str">
        <f t="shared" si="14"/>
        <v>Flat-rolled products of iron or non-alloy steel, of a width of &lt; 600 mm, hot-rolled or cold-rolled "cold-reduced" and further worked, but not clad, plated or coatednon-perforated</v>
      </c>
      <c r="C868" s="749" t="s">
        <v>1907</v>
      </c>
      <c r="D868" s="1045"/>
      <c r="E868" s="1045"/>
      <c r="F868" s="1045"/>
      <c r="G868" s="1045"/>
      <c r="H868" s="1045"/>
      <c r="I868" s="1045"/>
      <c r="J868" s="1045"/>
      <c r="K868" s="1045"/>
      <c r="L868" s="1045"/>
      <c r="M868" s="1045"/>
    </row>
    <row r="869" spans="1:13" x14ac:dyDescent="0.2">
      <c r="A869" s="693">
        <v>865</v>
      </c>
      <c r="B869" s="749" t="str">
        <f t="shared" si="14"/>
        <v>Flat-rolled products of iron or non-alloy steel, of a width of &lt; 600 mm, hot-rolled or cold-rolled "cold-reduced", clad, plated or coated</v>
      </c>
      <c r="C869" s="749" t="s">
        <v>1909</v>
      </c>
      <c r="D869" s="1045"/>
      <c r="E869" s="1045"/>
      <c r="F869" s="1045"/>
      <c r="G869" s="1045"/>
      <c r="H869" s="1045"/>
      <c r="I869" s="1045"/>
      <c r="J869" s="1045"/>
      <c r="K869" s="1045"/>
      <c r="L869" s="1045"/>
      <c r="M869" s="1045"/>
    </row>
    <row r="870" spans="1:13" x14ac:dyDescent="0.2">
      <c r="A870" s="693">
        <v>866</v>
      </c>
      <c r="B870" s="749" t="str">
        <f t="shared" si="14"/>
        <v>Flat-rolled products of iron or non-alloy steel, of a width of &lt; 600 mm, hot-rolled or cold-rolled "cold-reduced", tinned</v>
      </c>
      <c r="C870" s="749" t="s">
        <v>1911</v>
      </c>
      <c r="D870" s="1045"/>
      <c r="E870" s="1045"/>
      <c r="F870" s="1045"/>
      <c r="G870" s="1045"/>
      <c r="H870" s="1045"/>
      <c r="I870" s="1045"/>
      <c r="J870" s="1045"/>
      <c r="K870" s="1045"/>
      <c r="L870" s="1045"/>
      <c r="M870" s="1045"/>
    </row>
    <row r="871" spans="1:13" x14ac:dyDescent="0.2">
      <c r="A871" s="693">
        <v>867</v>
      </c>
      <c r="B871" s="749" t="str">
        <f t="shared" si="14"/>
        <v>Tinplate of iron or non-alloy steel, of a width of &lt; 600 mm and of a thickness of &lt; 0,5 mm, tinned [coated with a layer of metal containing, by weight,  &gt;= 97% of tin], not further worked than surface-treated</v>
      </c>
      <c r="C871" s="749" t="s">
        <v>1913</v>
      </c>
      <c r="D871" s="1045"/>
      <c r="E871" s="1045"/>
      <c r="F871" s="1045"/>
      <c r="G871" s="1045"/>
      <c r="H871" s="1045"/>
      <c r="I871" s="1045"/>
      <c r="J871" s="1045"/>
      <c r="K871" s="1045"/>
      <c r="L871" s="1045"/>
      <c r="M871" s="1045"/>
    </row>
    <row r="872" spans="1:13" x14ac:dyDescent="0.2">
      <c r="A872" s="693">
        <v>868</v>
      </c>
      <c r="B872" s="749" t="str">
        <f t="shared" si="14"/>
        <v>Flat-rolled products of iron or non-alloy steel, hot-rolled or cold-rolled "cold-reduced", of a width of &lt; 600 mm, tinned (excl. tinplate, not further worked than surface-treated)</v>
      </c>
      <c r="C872" s="749" t="s">
        <v>1915</v>
      </c>
      <c r="D872" s="1045"/>
      <c r="E872" s="1045"/>
      <c r="F872" s="1045"/>
      <c r="G872" s="1045"/>
      <c r="H872" s="1045"/>
      <c r="I872" s="1045"/>
      <c r="J872" s="1045"/>
      <c r="K872" s="1045"/>
      <c r="L872" s="1045"/>
      <c r="M872" s="1045"/>
    </row>
    <row r="873" spans="1:13" x14ac:dyDescent="0.2">
      <c r="A873" s="693">
        <v>869</v>
      </c>
      <c r="B873" s="749" t="str">
        <f t="shared" si="14"/>
        <v>Flat-rolled products of iron or non-alloy steel, of a width of &lt; 600 mm, hot-rolled or cold-rolled "cold-reduced", electrolytically plated or coated with zinc</v>
      </c>
      <c r="C873" s="749" t="s">
        <v>1917</v>
      </c>
      <c r="D873" s="1045"/>
      <c r="E873" s="1045"/>
      <c r="F873" s="1045"/>
      <c r="G873" s="1045"/>
      <c r="H873" s="1045"/>
      <c r="I873" s="1045"/>
      <c r="J873" s="1045"/>
      <c r="K873" s="1045"/>
      <c r="L873" s="1045"/>
      <c r="M873" s="1045"/>
    </row>
    <row r="874" spans="1:13" x14ac:dyDescent="0.2">
      <c r="A874" s="693">
        <v>870</v>
      </c>
      <c r="B874" s="749" t="str">
        <f t="shared" si="14"/>
        <v>Flat-rolled products of iron or non-alloy steel, of a width of &lt; 600 mm, hot-rolled or cold-rolled "cold-reduced", tinned (excl. electrolytically plated or coated with zinc)</v>
      </c>
      <c r="C874" s="749" t="s">
        <v>1919</v>
      </c>
      <c r="D874" s="1045"/>
      <c r="E874" s="1045"/>
      <c r="F874" s="1045"/>
      <c r="G874" s="1045"/>
      <c r="H874" s="1045"/>
      <c r="I874" s="1045"/>
      <c r="J874" s="1045"/>
      <c r="K874" s="1045"/>
      <c r="L874" s="1045"/>
      <c r="M874" s="1045"/>
    </row>
    <row r="875" spans="1:13" x14ac:dyDescent="0.2">
      <c r="A875" s="693">
        <v>871</v>
      </c>
      <c r="B875" s="749" t="str">
        <f t="shared" si="14"/>
        <v>Flat-rolled products of iron or non-alloy steel, of a width of &lt; 600 mm, hot-rolled or cold-rolled "cold-reduced", painted, varnished or coated with plastics</v>
      </c>
      <c r="C875" s="749" t="s">
        <v>1921</v>
      </c>
      <c r="D875" s="1045"/>
      <c r="E875" s="1045"/>
      <c r="F875" s="1045"/>
      <c r="G875" s="1045"/>
      <c r="H875" s="1045"/>
      <c r="I875" s="1045"/>
      <c r="J875" s="1045"/>
      <c r="K875" s="1045"/>
      <c r="L875" s="1045"/>
      <c r="M875" s="1045"/>
    </row>
    <row r="876" spans="1:13" x14ac:dyDescent="0.2">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1923</v>
      </c>
      <c r="D876" s="1045"/>
      <c r="E876" s="1045"/>
      <c r="F876" s="1045"/>
      <c r="G876" s="1045"/>
      <c r="H876" s="1045"/>
      <c r="I876" s="1045"/>
      <c r="J876" s="1045"/>
      <c r="K876" s="1045"/>
      <c r="L876" s="1045"/>
      <c r="M876" s="1045"/>
    </row>
    <row r="877" spans="1:13" x14ac:dyDescent="0.2">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1925</v>
      </c>
      <c r="D877" s="1045"/>
      <c r="E877" s="1045"/>
      <c r="F877" s="1045"/>
      <c r="G877" s="1045"/>
      <c r="H877" s="1045"/>
      <c r="I877" s="1045"/>
      <c r="J877" s="1045"/>
      <c r="K877" s="1045"/>
      <c r="L877" s="1045"/>
      <c r="M877" s="1045"/>
    </row>
    <row r="878" spans="1:13" x14ac:dyDescent="0.2">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1927</v>
      </c>
      <c r="D878" s="1045"/>
      <c r="E878" s="1045"/>
      <c r="F878" s="1045"/>
      <c r="G878" s="1045"/>
      <c r="H878" s="1045"/>
      <c r="I878" s="1045"/>
      <c r="J878" s="1045"/>
      <c r="K878" s="1045"/>
      <c r="L878" s="1045"/>
      <c r="M878" s="1045"/>
    </row>
    <row r="879" spans="1:13" x14ac:dyDescent="0.2">
      <c r="A879" s="693">
        <v>875</v>
      </c>
      <c r="B879" s="749" t="str">
        <f t="shared" si="14"/>
        <v>Flat-rolled products of iron or non-alloy steel, of a width of &lt; 600 mm, hot-rolled or cold-rolled "cold-reduced", plated or coated with chromium oxides or with chromium and chromium oxides (excl. varnished)</v>
      </c>
      <c r="C879" s="749" t="s">
        <v>1929</v>
      </c>
      <c r="D879" s="1045"/>
      <c r="E879" s="1045"/>
      <c r="F879" s="1045"/>
      <c r="G879" s="1045"/>
      <c r="H879" s="1045"/>
      <c r="I879" s="1045"/>
      <c r="J879" s="1045"/>
      <c r="K879" s="1045"/>
      <c r="L879" s="1045"/>
      <c r="M879" s="1045"/>
    </row>
    <row r="880" spans="1:13" x14ac:dyDescent="0.2">
      <c r="A880" s="693">
        <v>876</v>
      </c>
      <c r="B880" s="749" t="str">
        <f t="shared" si="14"/>
        <v>Flat-rolled products of iron or non-alloy steel, of a width of &lt; 600 mm, hot-rolled or cold-rolled "cold-reduced", plated or coated with chromium or nickel</v>
      </c>
      <c r="C880" s="749" t="s">
        <v>1931</v>
      </c>
      <c r="D880" s="1045"/>
      <c r="E880" s="1045"/>
      <c r="F880" s="1045"/>
      <c r="G880" s="1045"/>
      <c r="H880" s="1045"/>
      <c r="I880" s="1045"/>
      <c r="J880" s="1045"/>
      <c r="K880" s="1045"/>
      <c r="L880" s="1045"/>
      <c r="M880" s="1045"/>
    </row>
    <row r="881" spans="1:13" x14ac:dyDescent="0.2">
      <c r="A881" s="693">
        <v>877</v>
      </c>
      <c r="B881" s="749" t="str">
        <f t="shared" si="14"/>
        <v>Flat-rolled products of iron or non-alloy steel, of a width of &lt; 600 mm, hot-rolled or cold-rolled "cold-reduced", plated or coated with copper</v>
      </c>
      <c r="C881" s="749" t="s">
        <v>1933</v>
      </c>
      <c r="D881" s="1045"/>
      <c r="E881" s="1045"/>
      <c r="F881" s="1045"/>
      <c r="G881" s="1045"/>
      <c r="H881" s="1045"/>
      <c r="I881" s="1045"/>
      <c r="J881" s="1045"/>
      <c r="K881" s="1045"/>
      <c r="L881" s="1045"/>
      <c r="M881" s="1045"/>
    </row>
    <row r="882" spans="1:13" x14ac:dyDescent="0.2">
      <c r="A882" s="693">
        <v>878</v>
      </c>
      <c r="B882" s="749" t="str">
        <f t="shared" si="14"/>
        <v>Flat-rolled products of iron or non-alloy steel, of a width of &lt; 600 mm, hot-rolled or cold-rolled "cold-reduced", plated or coated with aluminium-zinc alloys</v>
      </c>
      <c r="C882" s="749" t="s">
        <v>1935</v>
      </c>
      <c r="D882" s="1045"/>
      <c r="E882" s="1045"/>
      <c r="F882" s="1045"/>
      <c r="G882" s="1045"/>
      <c r="H882" s="1045"/>
      <c r="I882" s="1045"/>
      <c r="J882" s="1045"/>
      <c r="K882" s="1045"/>
      <c r="L882" s="1045"/>
      <c r="M882" s="1045"/>
    </row>
    <row r="883" spans="1:13" x14ac:dyDescent="0.2">
      <c r="A883" s="693">
        <v>879</v>
      </c>
      <c r="B883" s="749" t="str">
        <f t="shared" si="14"/>
        <v>Flat-rolled products of iron or non-alloy steel, of a width of &lt; 600 mm, hot-rolled or cold-rolled "cold-reduced", plated or coated with aluminium (excl. products plated or coated with aluminium-zinc alloys)</v>
      </c>
      <c r="C883" s="749" t="s">
        <v>1937</v>
      </c>
      <c r="D883" s="1045"/>
      <c r="E883" s="1045"/>
      <c r="F883" s="1045"/>
      <c r="G883" s="1045"/>
      <c r="H883" s="1045"/>
      <c r="I883" s="1045"/>
      <c r="J883" s="1045"/>
      <c r="K883" s="1045"/>
      <c r="L883" s="1045"/>
      <c r="M883" s="1045"/>
    </row>
    <row r="884" spans="1:13" x14ac:dyDescent="0.2">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1939</v>
      </c>
      <c r="D884" s="1045"/>
      <c r="E884" s="1045"/>
      <c r="F884" s="1045"/>
      <c r="G884" s="1045"/>
      <c r="H884" s="1045"/>
      <c r="I884" s="1045"/>
      <c r="J884" s="1045"/>
      <c r="K884" s="1045"/>
      <c r="L884" s="1045"/>
      <c r="M884" s="1045"/>
    </row>
    <row r="885" spans="1:13" x14ac:dyDescent="0.2">
      <c r="A885" s="693">
        <v>881</v>
      </c>
      <c r="B885" s="749" t="str">
        <f t="shared" si="14"/>
        <v>Flat-rolled products of iron or non-alloy steel, of a width of &lt; 600 mm, hot-rolled or cold-rolled "cold-reduced", clad</v>
      </c>
      <c r="C885" s="749" t="s">
        <v>1941</v>
      </c>
      <c r="D885" s="1045"/>
      <c r="E885" s="1045"/>
      <c r="F885" s="1045"/>
      <c r="G885" s="1045"/>
      <c r="H885" s="1045"/>
      <c r="I885" s="1045"/>
      <c r="J885" s="1045"/>
      <c r="K885" s="1045"/>
      <c r="L885" s="1045"/>
      <c r="M885" s="1045"/>
    </row>
    <row r="886" spans="1:13" x14ac:dyDescent="0.2">
      <c r="A886" s="693">
        <v>882</v>
      </c>
      <c r="B886" s="749" t="str">
        <f t="shared" si="14"/>
        <v>Bars and rods of iron or non-alloy steel, hot-rolled, in irregularly wound coils</v>
      </c>
      <c r="C886" s="749" t="s">
        <v>1943</v>
      </c>
      <c r="D886" s="1045"/>
      <c r="E886" s="1045"/>
      <c r="F886" s="1045"/>
      <c r="G886" s="1045"/>
      <c r="H886" s="1045"/>
      <c r="I886" s="1045"/>
      <c r="J886" s="1045"/>
      <c r="K886" s="1045"/>
      <c r="L886" s="1045"/>
      <c r="M886" s="1045"/>
    </row>
    <row r="887" spans="1:13" x14ac:dyDescent="0.2">
      <c r="A887" s="693">
        <v>883</v>
      </c>
      <c r="B887" s="749" t="str">
        <f t="shared" si="14"/>
        <v>Bars and rods, hot-rolled, in irregularly wound coils of iron or non-alloy steel, with indentations, ribs, grooves or other deformations produced during the rolling process</v>
      </c>
      <c r="C887" s="749" t="s">
        <v>1945</v>
      </c>
      <c r="D887" s="1045"/>
      <c r="E887" s="1045"/>
      <c r="F887" s="1045"/>
      <c r="G887" s="1045"/>
      <c r="H887" s="1045"/>
      <c r="I887" s="1045"/>
      <c r="J887" s="1045"/>
      <c r="K887" s="1045"/>
      <c r="L887" s="1045"/>
      <c r="M887" s="1045"/>
    </row>
    <row r="888" spans="1:13" x14ac:dyDescent="0.2">
      <c r="A888" s="693">
        <v>884</v>
      </c>
      <c r="B888" s="749" t="str">
        <f t="shared" si="14"/>
        <v>Bars and rods, hot-rolled, in irregularly wound coils, of non-alloy free-cutting steel (excl. bars and rods containing indentations, ribs, grooves or other deformations produced during the rolling process)</v>
      </c>
      <c r="C888" s="749" t="s">
        <v>1947</v>
      </c>
      <c r="D888" s="1045"/>
      <c r="E888" s="1045"/>
      <c r="F888" s="1045"/>
      <c r="G888" s="1045"/>
      <c r="H888" s="1045"/>
      <c r="I888" s="1045"/>
      <c r="J888" s="1045"/>
      <c r="K888" s="1045"/>
      <c r="L888" s="1045"/>
      <c r="M888" s="1045"/>
    </row>
    <row r="889" spans="1:13" x14ac:dyDescent="0.2">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1949</v>
      </c>
      <c r="D889" s="1045"/>
      <c r="E889" s="1045"/>
      <c r="F889" s="1045"/>
      <c r="G889" s="1045"/>
      <c r="H889" s="1045"/>
      <c r="I889" s="1045"/>
      <c r="J889" s="1045"/>
      <c r="K889" s="1045"/>
      <c r="L889" s="1045"/>
      <c r="M889" s="1045"/>
    </row>
    <row r="890" spans="1:13" x14ac:dyDescent="0.2">
      <c r="A890" s="693">
        <v>886</v>
      </c>
      <c r="B890" s="749" t="str">
        <f t="shared" si="14"/>
        <v>Bars and rods, hot-rolled, of the type used for concrete reinforcement, smooth, of iron or non-alloy steel, in irregularly wound coils, of circular cross-section measuring &lt; 14 mm in diameter</v>
      </c>
      <c r="C890" s="749" t="s">
        <v>1951</v>
      </c>
      <c r="D890" s="1045"/>
      <c r="E890" s="1045"/>
      <c r="F890" s="1045"/>
      <c r="G890" s="1045"/>
      <c r="H890" s="1045"/>
      <c r="I890" s="1045"/>
      <c r="J890" s="1045"/>
      <c r="K890" s="1045"/>
      <c r="L890" s="1045"/>
      <c r="M890" s="1045"/>
    </row>
    <row r="891" spans="1:13" x14ac:dyDescent="0.2">
      <c r="A891" s="693">
        <v>887</v>
      </c>
      <c r="B891" s="749" t="str">
        <f t="shared" si="14"/>
        <v>Bars and rods, hot-rolled, of the type used for tyre cord, smooth, of iron or non-alloy steel, in irregularly wound coils</v>
      </c>
      <c r="C891" s="749" t="s">
        <v>1953</v>
      </c>
      <c r="D891" s="1045"/>
      <c r="E891" s="1045"/>
      <c r="F891" s="1045"/>
      <c r="G891" s="1045"/>
      <c r="H891" s="1045"/>
      <c r="I891" s="1045"/>
      <c r="J891" s="1045"/>
      <c r="K891" s="1045"/>
      <c r="L891" s="1045"/>
      <c r="M891" s="1045"/>
    </row>
    <row r="892" spans="1:13" x14ac:dyDescent="0.2">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1955</v>
      </c>
      <c r="D892" s="1045"/>
      <c r="E892" s="1045"/>
      <c r="F892" s="1045"/>
      <c r="G892" s="1045"/>
      <c r="H892" s="1045"/>
      <c r="I892" s="1045"/>
      <c r="J892" s="1045"/>
      <c r="K892" s="1045"/>
      <c r="L892" s="1045"/>
      <c r="M892" s="1045"/>
    </row>
    <row r="893" spans="1:13" x14ac:dyDescent="0.2">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1957</v>
      </c>
      <c r="D893" s="1045"/>
      <c r="E893" s="1045"/>
      <c r="F893" s="1045"/>
      <c r="G893" s="1045"/>
      <c r="H893" s="1045"/>
      <c r="I893" s="1045"/>
      <c r="J893" s="1045"/>
      <c r="K893" s="1045"/>
      <c r="L893" s="1045"/>
      <c r="M893" s="1045"/>
    </row>
    <row r="894" spans="1:13" x14ac:dyDescent="0.2">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1959</v>
      </c>
      <c r="D894" s="1045"/>
      <c r="E894" s="1045"/>
      <c r="F894" s="1045"/>
      <c r="G894" s="1045"/>
      <c r="H894" s="1045"/>
      <c r="I894" s="1045"/>
      <c r="J894" s="1045"/>
      <c r="K894" s="1045"/>
      <c r="L894" s="1045"/>
      <c r="M894" s="1045"/>
    </row>
    <row r="895" spans="1:13" x14ac:dyDescent="0.2">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1961</v>
      </c>
      <c r="D895" s="1045"/>
      <c r="E895" s="1045"/>
      <c r="F895" s="1045"/>
      <c r="G895" s="1045"/>
      <c r="H895" s="1045"/>
      <c r="I895" s="1045"/>
      <c r="J895" s="1045"/>
      <c r="K895" s="1045"/>
      <c r="L895" s="1045"/>
      <c r="M895" s="1045"/>
    </row>
    <row r="896" spans="1:13" x14ac:dyDescent="0.2">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1963</v>
      </c>
      <c r="D896" s="1045"/>
      <c r="E896" s="1045"/>
      <c r="F896" s="1045"/>
      <c r="G896" s="1045"/>
      <c r="H896" s="1045"/>
      <c r="I896" s="1045"/>
      <c r="J896" s="1045"/>
      <c r="K896" s="1045"/>
      <c r="L896" s="1045"/>
      <c r="M896" s="1045"/>
    </row>
    <row r="897" spans="1:13" x14ac:dyDescent="0.2">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1965</v>
      </c>
      <c r="D897" s="1045"/>
      <c r="E897" s="1045"/>
      <c r="F897" s="1045"/>
      <c r="G897" s="1045"/>
      <c r="H897" s="1045"/>
      <c r="I897" s="1045"/>
      <c r="J897" s="1045"/>
      <c r="K897" s="1045"/>
      <c r="L897" s="1045"/>
      <c r="M897" s="1045"/>
    </row>
    <row r="898" spans="1:13" x14ac:dyDescent="0.2">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1967</v>
      </c>
      <c r="D898" s="1045"/>
      <c r="E898" s="1045"/>
      <c r="F898" s="1045"/>
      <c r="G898" s="1045"/>
      <c r="H898" s="1045"/>
      <c r="I898" s="1045"/>
      <c r="J898" s="1045"/>
      <c r="K898" s="1045"/>
      <c r="L898" s="1045"/>
      <c r="M898" s="1045"/>
    </row>
    <row r="899" spans="1:13" x14ac:dyDescent="0.2">
      <c r="A899" s="693">
        <v>895</v>
      </c>
      <c r="B899" s="749" t="str">
        <f t="shared" si="14"/>
        <v>Bars and rods, of iron or non-alloy steel, not further worked than forged, hot-rolled, hot-drawn or hot-extruded, but incl. those twisted after rolling (excl. in irregularly wound coils)</v>
      </c>
      <c r="C899" s="749" t="s">
        <v>1969</v>
      </c>
      <c r="D899" s="1045"/>
      <c r="E899" s="1045"/>
      <c r="F899" s="1045"/>
      <c r="G899" s="1045"/>
      <c r="H899" s="1045"/>
      <c r="I899" s="1045"/>
      <c r="J899" s="1045"/>
      <c r="K899" s="1045"/>
      <c r="L899" s="1045"/>
      <c r="M899" s="1045"/>
    </row>
    <row r="900" spans="1:13" x14ac:dyDescent="0.2">
      <c r="A900" s="693">
        <v>896</v>
      </c>
      <c r="B900" s="749" t="str">
        <f t="shared" si="14"/>
        <v>Bars and rods, of iron or non-alloy steel, not further worked than forged (excl. in irregularly wound coils)</v>
      </c>
      <c r="C900" s="749" t="s">
        <v>1971</v>
      </c>
      <c r="D900" s="1045"/>
      <c r="E900" s="1045"/>
      <c r="F900" s="1045"/>
      <c r="G900" s="1045"/>
      <c r="H900" s="1045"/>
      <c r="I900" s="1045"/>
      <c r="J900" s="1045"/>
      <c r="K900" s="1045"/>
      <c r="L900" s="1045"/>
      <c r="M900" s="1045"/>
    </row>
    <row r="901" spans="1:13" x14ac:dyDescent="0.2">
      <c r="A901" s="693">
        <v>897</v>
      </c>
      <c r="B901" s="749" t="str">
        <f t="shared" si="14"/>
        <v>Bars and rods, of iron or non-alloy steel, with indentations, ribs, groves or other deformations produced during the rolling process</v>
      </c>
      <c r="C901" s="749" t="s">
        <v>1973</v>
      </c>
      <c r="D901" s="1045"/>
      <c r="E901" s="1045"/>
      <c r="F901" s="1045"/>
      <c r="G901" s="1045"/>
      <c r="H901" s="1045"/>
      <c r="I901" s="1045"/>
      <c r="J901" s="1045"/>
      <c r="K901" s="1045"/>
      <c r="L901" s="1045"/>
      <c r="M901" s="1045"/>
    </row>
    <row r="902" spans="1:13" x14ac:dyDescent="0.2">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1975</v>
      </c>
      <c r="D902" s="1045"/>
      <c r="E902" s="1045"/>
      <c r="F902" s="1045"/>
      <c r="G902" s="1045"/>
      <c r="H902" s="1045"/>
      <c r="I902" s="1045"/>
      <c r="J902" s="1045"/>
      <c r="K902" s="1045"/>
      <c r="L902" s="1045"/>
      <c r="M902" s="1045"/>
    </row>
    <row r="903" spans="1:13" x14ac:dyDescent="0.2">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1977</v>
      </c>
      <c r="D903" s="1045"/>
      <c r="E903" s="1045"/>
      <c r="F903" s="1045"/>
      <c r="G903" s="1045"/>
      <c r="H903" s="1045"/>
      <c r="I903" s="1045"/>
      <c r="J903" s="1045"/>
      <c r="K903" s="1045"/>
      <c r="L903" s="1045"/>
      <c r="M903" s="1045"/>
    </row>
    <row r="904" spans="1:13" x14ac:dyDescent="0.2">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1979</v>
      </c>
      <c r="D904" s="1045"/>
      <c r="E904" s="1045"/>
      <c r="F904" s="1045"/>
      <c r="G904" s="1045"/>
      <c r="H904" s="1045"/>
      <c r="I904" s="1045"/>
      <c r="J904" s="1045"/>
      <c r="K904" s="1045"/>
      <c r="L904" s="1045"/>
      <c r="M904" s="1045"/>
    </row>
    <row r="905" spans="1:13" x14ac:dyDescent="0.2">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1981</v>
      </c>
      <c r="D905" s="1045"/>
      <c r="E905" s="1045"/>
      <c r="F905" s="1045"/>
      <c r="G905" s="1045"/>
      <c r="H905" s="1045"/>
      <c r="I905" s="1045"/>
      <c r="J905" s="1045"/>
      <c r="K905" s="1045"/>
      <c r="L905" s="1045"/>
      <c r="M905" s="1045"/>
    </row>
    <row r="906" spans="1:13" x14ac:dyDescent="0.2">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1983</v>
      </c>
      <c r="D906" s="1045"/>
      <c r="E906" s="1045"/>
      <c r="F906" s="1045"/>
      <c r="G906" s="1045"/>
      <c r="H906" s="1045"/>
      <c r="I906" s="1045"/>
      <c r="J906" s="1045"/>
      <c r="K906" s="1045"/>
      <c r="L906" s="1045"/>
      <c r="M906" s="1045"/>
    </row>
    <row r="907" spans="1:13" x14ac:dyDescent="0.2">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1985</v>
      </c>
      <c r="D907" s="1045"/>
      <c r="E907" s="1045"/>
      <c r="F907" s="1045"/>
      <c r="G907" s="1045"/>
      <c r="H907" s="1045"/>
      <c r="I907" s="1045"/>
      <c r="J907" s="1045"/>
      <c r="K907" s="1045"/>
      <c r="L907" s="1045"/>
      <c r="M907" s="1045"/>
    </row>
    <row r="908" spans="1:13" x14ac:dyDescent="0.2">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1987</v>
      </c>
      <c r="D908" s="1045"/>
      <c r="E908" s="1045"/>
      <c r="F908" s="1045"/>
      <c r="G908" s="1045"/>
      <c r="H908" s="1045"/>
      <c r="I908" s="1045"/>
      <c r="J908" s="1045"/>
      <c r="K908" s="1045"/>
      <c r="L908" s="1045"/>
      <c r="M908" s="1045"/>
    </row>
    <row r="909" spans="1:13" x14ac:dyDescent="0.2">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1989</v>
      </c>
      <c r="D909" s="1045"/>
      <c r="E909" s="1045"/>
      <c r="F909" s="1045"/>
      <c r="G909" s="1045"/>
      <c r="H909" s="1045"/>
      <c r="I909" s="1045"/>
      <c r="J909" s="1045"/>
      <c r="K909" s="1045"/>
      <c r="L909" s="1045"/>
      <c r="M909" s="1045"/>
    </row>
    <row r="910" spans="1:13" x14ac:dyDescent="0.2">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1991</v>
      </c>
      <c r="D910" s="1045"/>
      <c r="E910" s="1045"/>
      <c r="F910" s="1045"/>
      <c r="G910" s="1045"/>
      <c r="H910" s="1045"/>
      <c r="I910" s="1045"/>
      <c r="J910" s="1045"/>
      <c r="K910" s="1045"/>
      <c r="L910" s="1045"/>
      <c r="M910" s="1045"/>
    </row>
    <row r="911" spans="1:13" x14ac:dyDescent="0.2">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1993</v>
      </c>
      <c r="D911" s="1045"/>
      <c r="E911" s="1045"/>
      <c r="F911" s="1045"/>
      <c r="G911" s="1045"/>
      <c r="H911" s="1045"/>
      <c r="I911" s="1045"/>
      <c r="J911" s="1045"/>
      <c r="K911" s="1045"/>
      <c r="L911" s="1045"/>
      <c r="M911" s="1045"/>
    </row>
    <row r="912" spans="1:13" x14ac:dyDescent="0.2">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1995</v>
      </c>
      <c r="D912" s="1045"/>
      <c r="E912" s="1045"/>
      <c r="F912" s="1045"/>
      <c r="G912" s="1045"/>
      <c r="H912" s="1045"/>
      <c r="I912" s="1045"/>
      <c r="J912" s="1045"/>
      <c r="K912" s="1045"/>
      <c r="L912" s="1045"/>
      <c r="M912" s="1045"/>
    </row>
    <row r="913" spans="1:13" x14ac:dyDescent="0.2">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1997</v>
      </c>
      <c r="D913" s="1045"/>
      <c r="E913" s="1045"/>
      <c r="F913" s="1045"/>
      <c r="G913" s="1045"/>
      <c r="H913" s="1045"/>
      <c r="I913" s="1045"/>
      <c r="J913" s="1045"/>
      <c r="K913" s="1045"/>
      <c r="L913" s="1045"/>
      <c r="M913" s="1045"/>
    </row>
    <row r="914" spans="1:13" x14ac:dyDescent="0.2">
      <c r="A914" s="693">
        <v>910</v>
      </c>
      <c r="B914" s="749" t="str">
        <f t="shared" si="15"/>
        <v>Bars and rods, of iron or non-alloy steel, cold-formed or cold-finished, whether or not further worked, or hot-formed and further worked, n.e.s.</v>
      </c>
      <c r="C914" s="749" t="s">
        <v>1999</v>
      </c>
      <c r="D914" s="1045"/>
      <c r="E914" s="1045"/>
      <c r="F914" s="1045"/>
      <c r="G914" s="1045"/>
      <c r="H914" s="1045"/>
      <c r="I914" s="1045"/>
      <c r="J914" s="1045"/>
      <c r="K914" s="1045"/>
      <c r="L914" s="1045"/>
      <c r="M914" s="1045"/>
    </row>
    <row r="915" spans="1:13" x14ac:dyDescent="0.2">
      <c r="A915" s="693">
        <v>911</v>
      </c>
      <c r="B915" s="749" t="str">
        <f t="shared" si="15"/>
        <v>Bars and rods, of non-alloy free-cutting steel, not further worked than cold-formed or cold-finished</v>
      </c>
      <c r="C915" s="749" t="s">
        <v>2001</v>
      </c>
      <c r="D915" s="1045"/>
      <c r="E915" s="1045"/>
      <c r="F915" s="1045"/>
      <c r="G915" s="1045"/>
      <c r="H915" s="1045"/>
      <c r="I915" s="1045"/>
      <c r="J915" s="1045"/>
      <c r="K915" s="1045"/>
      <c r="L915" s="1045"/>
      <c r="M915" s="1045"/>
    </row>
    <row r="916" spans="1:13" x14ac:dyDescent="0.2">
      <c r="A916" s="693">
        <v>912</v>
      </c>
      <c r="B916" s="749" t="str">
        <f t="shared" si="15"/>
        <v>Bars and rods, of iron or non-alloy steel, not further worked than cold-formed or cold-finished (excl. of free-cutting steel)</v>
      </c>
      <c r="C916" s="749" t="s">
        <v>2003</v>
      </c>
      <c r="D916" s="1045"/>
      <c r="E916" s="1045"/>
      <c r="F916" s="1045"/>
      <c r="G916" s="1045"/>
      <c r="H916" s="1045"/>
      <c r="I916" s="1045"/>
      <c r="J916" s="1045"/>
      <c r="K916" s="1045"/>
      <c r="L916" s="1045"/>
      <c r="M916" s="1045"/>
    </row>
    <row r="917" spans="1:13" x14ac:dyDescent="0.2">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2005</v>
      </c>
      <c r="D917" s="1045"/>
      <c r="E917" s="1045"/>
      <c r="F917" s="1045"/>
      <c r="G917" s="1045"/>
      <c r="H917" s="1045"/>
      <c r="I917" s="1045"/>
      <c r="J917" s="1045"/>
      <c r="K917" s="1045"/>
      <c r="L917" s="1045"/>
      <c r="M917" s="1045"/>
    </row>
    <row r="918" spans="1:13" x14ac:dyDescent="0.2">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2007</v>
      </c>
      <c r="D918" s="1045"/>
      <c r="E918" s="1045"/>
      <c r="F918" s="1045"/>
      <c r="G918" s="1045"/>
      <c r="H918" s="1045"/>
      <c r="I918" s="1045"/>
      <c r="J918" s="1045"/>
      <c r="K918" s="1045"/>
      <c r="L918" s="1045"/>
      <c r="M918" s="1045"/>
    </row>
    <row r="919" spans="1:13" x14ac:dyDescent="0.2">
      <c r="A919" s="693">
        <v>915</v>
      </c>
      <c r="B919" s="749" t="str">
        <f t="shared" si="15"/>
        <v>Other bars and rods of iron or non-alloy steel, not further worked than cold-formed or cold-finished, containing by weight &gt;= 0,25% of carbon (excl. those of free-cutting steel)</v>
      </c>
      <c r="C919" s="749" t="s">
        <v>2009</v>
      </c>
      <c r="D919" s="1045"/>
      <c r="E919" s="1045"/>
      <c r="F919" s="1045"/>
      <c r="G919" s="1045"/>
      <c r="H919" s="1045"/>
      <c r="I919" s="1045"/>
      <c r="J919" s="1045"/>
      <c r="K919" s="1045"/>
      <c r="L919" s="1045"/>
      <c r="M919" s="1045"/>
    </row>
    <row r="920" spans="1:13" x14ac:dyDescent="0.2">
      <c r="A920" s="693">
        <v>916</v>
      </c>
      <c r="B920" s="749" t="str">
        <f t="shared" si="15"/>
        <v>Bars or rods, of iron or non-alloy steel, cold-formed or cold-finished and further worked or hot-formed and further worked, n.e.s.</v>
      </c>
      <c r="C920" s="749" t="s">
        <v>2011</v>
      </c>
      <c r="D920" s="1045"/>
      <c r="E920" s="1045"/>
      <c r="F920" s="1045"/>
      <c r="G920" s="1045"/>
      <c r="H920" s="1045"/>
      <c r="I920" s="1045"/>
      <c r="J920" s="1045"/>
      <c r="K920" s="1045"/>
      <c r="L920" s="1045"/>
      <c r="M920" s="1045"/>
    </row>
    <row r="921" spans="1:13" x14ac:dyDescent="0.2">
      <c r="A921" s="693">
        <v>917</v>
      </c>
      <c r="B921" s="749" t="str">
        <f t="shared" si="15"/>
        <v>Angles, shapes and sections of iron or non-alloy steel, n.e.s.</v>
      </c>
      <c r="C921" s="749" t="s">
        <v>2013</v>
      </c>
      <c r="D921" s="1045"/>
      <c r="E921" s="1045"/>
      <c r="F921" s="1045"/>
      <c r="G921" s="1045"/>
      <c r="H921" s="1045"/>
      <c r="I921" s="1045"/>
      <c r="J921" s="1045"/>
      <c r="K921" s="1045"/>
      <c r="L921" s="1045"/>
      <c r="M921" s="1045"/>
    </row>
    <row r="922" spans="1:13" x14ac:dyDescent="0.2">
      <c r="A922" s="693">
        <v>918</v>
      </c>
      <c r="B922" s="749" t="str">
        <f t="shared" si="15"/>
        <v>U, I or H sections of iron or non-alloy steel, not further worked than hot-rolled, hot-drawn or extruded, of a height of &lt; 80 mm</v>
      </c>
      <c r="C922" s="749" t="s">
        <v>2015</v>
      </c>
      <c r="D922" s="1045"/>
      <c r="E922" s="1045"/>
      <c r="F922" s="1045"/>
      <c r="G922" s="1045"/>
      <c r="H922" s="1045"/>
      <c r="I922" s="1045"/>
      <c r="J922" s="1045"/>
      <c r="K922" s="1045"/>
      <c r="L922" s="1045"/>
      <c r="M922" s="1045"/>
    </row>
    <row r="923" spans="1:13" x14ac:dyDescent="0.2">
      <c r="A923" s="693">
        <v>919</v>
      </c>
      <c r="B923" s="749" t="str">
        <f t="shared" si="15"/>
        <v>L sections of iron or non-alloy steel, not further worked than hot-rolled, hot-drawn or extruded, of a height of &lt; 80 mm</v>
      </c>
      <c r="C923" s="749" t="s">
        <v>2017</v>
      </c>
      <c r="D923" s="1045"/>
      <c r="E923" s="1045"/>
      <c r="F923" s="1045"/>
      <c r="G923" s="1045"/>
      <c r="H923" s="1045"/>
      <c r="I923" s="1045"/>
      <c r="J923" s="1045"/>
      <c r="K923" s="1045"/>
      <c r="L923" s="1045"/>
      <c r="M923" s="1045"/>
    </row>
    <row r="924" spans="1:13" x14ac:dyDescent="0.2">
      <c r="A924" s="693">
        <v>920</v>
      </c>
      <c r="B924" s="749" t="str">
        <f t="shared" si="15"/>
        <v>T sections of iron or non-alloy steel, not further worked than hot-rolled, hot-drawn or extruded, of a height of &lt; 80 mm</v>
      </c>
      <c r="C924" s="749" t="s">
        <v>2019</v>
      </c>
      <c r="D924" s="1045"/>
      <c r="E924" s="1045"/>
      <c r="F924" s="1045"/>
      <c r="G924" s="1045"/>
      <c r="H924" s="1045"/>
      <c r="I924" s="1045"/>
      <c r="J924" s="1045"/>
      <c r="K924" s="1045"/>
      <c r="L924" s="1045"/>
      <c r="M924" s="1045"/>
    </row>
    <row r="925" spans="1:13" x14ac:dyDescent="0.2">
      <c r="A925" s="693">
        <v>921</v>
      </c>
      <c r="B925" s="749" t="str">
        <f t="shared" si="15"/>
        <v>U sections of iron or non-alloy steel, not further worked than hot-rolled, hot-drawn or hot-extruded, of a height &gt;= 80 mm</v>
      </c>
      <c r="C925" s="749" t="s">
        <v>2021</v>
      </c>
      <c r="D925" s="1045"/>
      <c r="E925" s="1045"/>
      <c r="F925" s="1045"/>
      <c r="G925" s="1045"/>
      <c r="H925" s="1045"/>
      <c r="I925" s="1045"/>
      <c r="J925" s="1045"/>
      <c r="K925" s="1045"/>
      <c r="L925" s="1045"/>
      <c r="M925" s="1045"/>
    </row>
    <row r="926" spans="1:13" x14ac:dyDescent="0.2">
      <c r="A926" s="693">
        <v>922</v>
      </c>
      <c r="B926" s="749" t="str">
        <f t="shared" si="15"/>
        <v>U sections of iron or non-alloy steel, simply hot-rolled, hot-drawn or extruded, of a height &gt;= 80 mm but &lt;= 220 mm</v>
      </c>
      <c r="C926" s="749" t="s">
        <v>2023</v>
      </c>
      <c r="D926" s="1045"/>
      <c r="E926" s="1045"/>
      <c r="F926" s="1045"/>
      <c r="G926" s="1045"/>
      <c r="H926" s="1045"/>
      <c r="I926" s="1045"/>
      <c r="J926" s="1045"/>
      <c r="K926" s="1045"/>
      <c r="L926" s="1045"/>
      <c r="M926" s="1045"/>
    </row>
    <row r="927" spans="1:13" x14ac:dyDescent="0.2">
      <c r="A927" s="693">
        <v>923</v>
      </c>
      <c r="B927" s="749" t="str">
        <f t="shared" si="15"/>
        <v>U sections of iron or non-alloy steel, simply hot-rolled, hot-drawn or extruded, of a height &gt; 220 mm</v>
      </c>
      <c r="C927" s="749" t="s">
        <v>2025</v>
      </c>
      <c r="D927" s="1045"/>
      <c r="E927" s="1045"/>
      <c r="F927" s="1045"/>
      <c r="G927" s="1045"/>
      <c r="H927" s="1045"/>
      <c r="I927" s="1045"/>
      <c r="J927" s="1045"/>
      <c r="K927" s="1045"/>
      <c r="L927" s="1045"/>
      <c r="M927" s="1045"/>
    </row>
    <row r="928" spans="1:13" x14ac:dyDescent="0.2">
      <c r="A928" s="693">
        <v>924</v>
      </c>
      <c r="B928" s="749" t="str">
        <f t="shared" si="15"/>
        <v>I sections of iron or non-alloy steel, not further worked than hot-rolled, hot-drawn or hot-extruded, of a height &gt;= 80 mm</v>
      </c>
      <c r="C928" s="749" t="s">
        <v>2027</v>
      </c>
      <c r="D928" s="1045"/>
      <c r="E928" s="1045"/>
      <c r="F928" s="1045"/>
      <c r="G928" s="1045"/>
      <c r="H928" s="1045"/>
      <c r="I928" s="1045"/>
      <c r="J928" s="1045"/>
      <c r="K928" s="1045"/>
      <c r="L928" s="1045"/>
      <c r="M928" s="1045"/>
    </row>
    <row r="929" spans="1:13" x14ac:dyDescent="0.2">
      <c r="A929" s="693">
        <v>925</v>
      </c>
      <c r="B929" s="749" t="str">
        <f t="shared" si="15"/>
        <v>I sections with parallel flange faces, of iron or non-alloy steel, simply hot-rolled, hot-drawn or extruded, of a height &gt;= 80 mm but &lt;= 220 mm</v>
      </c>
      <c r="C929" s="749" t="s">
        <v>2029</v>
      </c>
      <c r="D929" s="1045"/>
      <c r="E929" s="1045"/>
      <c r="F929" s="1045"/>
      <c r="G929" s="1045"/>
      <c r="H929" s="1045"/>
      <c r="I929" s="1045"/>
      <c r="J929" s="1045"/>
      <c r="K929" s="1045"/>
      <c r="L929" s="1045"/>
      <c r="M929" s="1045"/>
    </row>
    <row r="930" spans="1:13" x14ac:dyDescent="0.2">
      <c r="A930" s="693">
        <v>926</v>
      </c>
      <c r="B930" s="749" t="str">
        <f t="shared" si="15"/>
        <v>I sections of iron or non-alloy steel, simply hot-rolled, hot-drawn or extruded, of a height &gt;= 80 mm but &lt;= 220 mm (excl. 7216.32.11)</v>
      </c>
      <c r="C930" s="749" t="s">
        <v>2031</v>
      </c>
      <c r="D930" s="1045"/>
      <c r="E930" s="1045"/>
      <c r="F930" s="1045"/>
      <c r="G930" s="1045"/>
      <c r="H930" s="1045"/>
      <c r="I930" s="1045"/>
      <c r="J930" s="1045"/>
      <c r="K930" s="1045"/>
      <c r="L930" s="1045"/>
      <c r="M930" s="1045"/>
    </row>
    <row r="931" spans="1:13" x14ac:dyDescent="0.2">
      <c r="A931" s="693">
        <v>927</v>
      </c>
      <c r="B931" s="749" t="str">
        <f t="shared" si="15"/>
        <v>I sections with parallel flange faces, of iron or non-alloy steel, simply hot-rolled, hot-drawn or extruded, of a height &gt; 220 mm</v>
      </c>
      <c r="C931" s="749" t="s">
        <v>2033</v>
      </c>
      <c r="D931" s="1045"/>
      <c r="E931" s="1045"/>
      <c r="F931" s="1045"/>
      <c r="G931" s="1045"/>
      <c r="H931" s="1045"/>
      <c r="I931" s="1045"/>
      <c r="J931" s="1045"/>
      <c r="K931" s="1045"/>
      <c r="L931" s="1045"/>
      <c r="M931" s="1045"/>
    </row>
    <row r="932" spans="1:13" x14ac:dyDescent="0.2">
      <c r="A932" s="693">
        <v>928</v>
      </c>
      <c r="B932" s="749" t="str">
        <f t="shared" si="15"/>
        <v>I sections of iron or non-alloy steel, simply hot-rolled, hot-drawn or extruded, of a height &gt; 220 mm (excl. 7216.32.91)</v>
      </c>
      <c r="C932" s="749" t="s">
        <v>2035</v>
      </c>
      <c r="D932" s="1045"/>
      <c r="E932" s="1045"/>
      <c r="F932" s="1045"/>
      <c r="G932" s="1045"/>
      <c r="H932" s="1045"/>
      <c r="I932" s="1045"/>
      <c r="J932" s="1045"/>
      <c r="K932" s="1045"/>
      <c r="L932" s="1045"/>
      <c r="M932" s="1045"/>
    </row>
    <row r="933" spans="1:13" x14ac:dyDescent="0.2">
      <c r="A933" s="693">
        <v>929</v>
      </c>
      <c r="B933" s="749" t="str">
        <f t="shared" si="15"/>
        <v>H sections of iron or non-alloy steel, not further worked than hot-rolled, hot-drawn or hot-extruded, of a height &gt;= 80 mm</v>
      </c>
      <c r="C933" s="749" t="s">
        <v>2037</v>
      </c>
      <c r="D933" s="1045"/>
      <c r="E933" s="1045"/>
      <c r="F933" s="1045"/>
      <c r="G933" s="1045"/>
      <c r="H933" s="1045"/>
      <c r="I933" s="1045"/>
      <c r="J933" s="1045"/>
      <c r="K933" s="1045"/>
      <c r="L933" s="1045"/>
      <c r="M933" s="1045"/>
    </row>
    <row r="934" spans="1:13" x14ac:dyDescent="0.2">
      <c r="A934" s="693">
        <v>930</v>
      </c>
      <c r="B934" s="749" t="str">
        <f t="shared" si="15"/>
        <v>H sections of iron or non-alloy steel, simply hot-rolled, hot-drawn or extruded, of a height &gt;= 80 mm but &lt;= 180 mm</v>
      </c>
      <c r="C934" s="749" t="s">
        <v>2039</v>
      </c>
      <c r="D934" s="1045"/>
      <c r="E934" s="1045"/>
      <c r="F934" s="1045"/>
      <c r="G934" s="1045"/>
      <c r="H934" s="1045"/>
      <c r="I934" s="1045"/>
      <c r="J934" s="1045"/>
      <c r="K934" s="1045"/>
      <c r="L934" s="1045"/>
      <c r="M934" s="1045"/>
    </row>
    <row r="935" spans="1:13" x14ac:dyDescent="0.2">
      <c r="A935" s="693">
        <v>931</v>
      </c>
      <c r="B935" s="749" t="str">
        <f t="shared" si="15"/>
        <v>H sections of iron or non-alloy steel, simply hot-rolled, hot-drawn or extruded, of a height &gt; 180 mm</v>
      </c>
      <c r="C935" s="749" t="s">
        <v>2041</v>
      </c>
      <c r="D935" s="1045"/>
      <c r="E935" s="1045"/>
      <c r="F935" s="1045"/>
      <c r="G935" s="1045"/>
      <c r="H935" s="1045"/>
      <c r="I935" s="1045"/>
      <c r="J935" s="1045"/>
      <c r="K935" s="1045"/>
      <c r="L935" s="1045"/>
      <c r="M935" s="1045"/>
    </row>
    <row r="936" spans="1:13" x14ac:dyDescent="0.2">
      <c r="A936" s="693">
        <v>932</v>
      </c>
      <c r="B936" s="749" t="str">
        <f t="shared" si="15"/>
        <v>L sections of iron or non-alloy steel, not further worked than hot-rolled, hot-drawn or hot-extruded, of a height &gt;= 80 mm</v>
      </c>
      <c r="C936" s="749" t="s">
        <v>2043</v>
      </c>
      <c r="D936" s="1045"/>
      <c r="E936" s="1045"/>
      <c r="F936" s="1045"/>
      <c r="G936" s="1045"/>
      <c r="H936" s="1045"/>
      <c r="I936" s="1045"/>
      <c r="J936" s="1045"/>
      <c r="K936" s="1045"/>
      <c r="L936" s="1045"/>
      <c r="M936" s="1045"/>
    </row>
    <row r="937" spans="1:13" x14ac:dyDescent="0.2">
      <c r="A937" s="693">
        <v>933</v>
      </c>
      <c r="B937" s="749" t="str">
        <f t="shared" si="15"/>
        <v>L sections of iron or non-alloy steel, not further worked than hot-rolled, hot-drawn or extruded, of a height of &gt;= 80 mm</v>
      </c>
      <c r="C937" s="749" t="s">
        <v>2045</v>
      </c>
      <c r="D937" s="1045"/>
      <c r="E937" s="1045"/>
      <c r="F937" s="1045"/>
      <c r="G937" s="1045"/>
      <c r="H937" s="1045"/>
      <c r="I937" s="1045"/>
      <c r="J937" s="1045"/>
      <c r="K937" s="1045"/>
      <c r="L937" s="1045"/>
      <c r="M937" s="1045"/>
    </row>
    <row r="938" spans="1:13" x14ac:dyDescent="0.2">
      <c r="A938" s="693">
        <v>934</v>
      </c>
      <c r="B938" s="749" t="str">
        <f t="shared" si="15"/>
        <v>T sections of iron or non-alloy steel, not further worked than hot-rolled, hot-drawn or extruded, of a height of &gt;= 80 mm</v>
      </c>
      <c r="C938" s="749" t="s">
        <v>2047</v>
      </c>
      <c r="D938" s="1045"/>
      <c r="E938" s="1045"/>
      <c r="F938" s="1045"/>
      <c r="G938" s="1045"/>
      <c r="H938" s="1045"/>
      <c r="I938" s="1045"/>
      <c r="J938" s="1045"/>
      <c r="K938" s="1045"/>
      <c r="L938" s="1045"/>
      <c r="M938" s="1045"/>
    </row>
    <row r="939" spans="1:13" x14ac:dyDescent="0.2">
      <c r="A939" s="693">
        <v>935</v>
      </c>
      <c r="B939" s="749" t="str">
        <f t="shared" si="15"/>
        <v>Sections of iron or non-alloy steel, not further worked than hot-rolled, hot-drawn or hot-extruded (excl. U, I, H, L or T sections)</v>
      </c>
      <c r="C939" s="749" t="s">
        <v>2049</v>
      </c>
      <c r="D939" s="1045"/>
      <c r="E939" s="1045"/>
      <c r="F939" s="1045"/>
      <c r="G939" s="1045"/>
      <c r="H939" s="1045"/>
      <c r="I939" s="1045"/>
      <c r="J939" s="1045"/>
      <c r="K939" s="1045"/>
      <c r="L939" s="1045"/>
      <c r="M939" s="1045"/>
    </row>
    <row r="940" spans="1:13" x14ac:dyDescent="0.2">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2051</v>
      </c>
      <c r="D940" s="1045"/>
      <c r="E940" s="1045"/>
      <c r="F940" s="1045"/>
      <c r="G940" s="1045"/>
      <c r="H940" s="1045"/>
      <c r="I940" s="1045"/>
      <c r="J940" s="1045"/>
      <c r="K940" s="1045"/>
      <c r="L940" s="1045"/>
      <c r="M940" s="1045"/>
    </row>
    <row r="941" spans="1:13" x14ac:dyDescent="0.2">
      <c r="A941" s="693">
        <v>937</v>
      </c>
      <c r="B941" s="749" t="str">
        <f t="shared" si="15"/>
        <v>Bulb sections "bulb flat", only hot-rolled, hot-drawn or hot-extruded</v>
      </c>
      <c r="C941" s="749" t="s">
        <v>2053</v>
      </c>
      <c r="D941" s="1045"/>
      <c r="E941" s="1045"/>
      <c r="F941" s="1045"/>
      <c r="G941" s="1045"/>
      <c r="H941" s="1045"/>
      <c r="I941" s="1045"/>
      <c r="J941" s="1045"/>
      <c r="K941" s="1045"/>
      <c r="L941" s="1045"/>
      <c r="M941" s="1045"/>
    </row>
    <row r="942" spans="1:13" x14ac:dyDescent="0.2">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2055</v>
      </c>
      <c r="D942" s="1045"/>
      <c r="E942" s="1045"/>
      <c r="F942" s="1045"/>
      <c r="G942" s="1045"/>
      <c r="H942" s="1045"/>
      <c r="I942" s="1045"/>
      <c r="J942" s="1045"/>
      <c r="K942" s="1045"/>
      <c r="L942" s="1045"/>
      <c r="M942" s="1045"/>
    </row>
    <row r="943" spans="1:13" x14ac:dyDescent="0.2">
      <c r="A943" s="693">
        <v>939</v>
      </c>
      <c r="B943" s="749" t="str">
        <f t="shared" si="15"/>
        <v>Angles, shapes and sections, of iron or non-alloy steel, from flat-rolled products simply cold-formed or cold-finished (excl. profiled sheet)</v>
      </c>
      <c r="C943" s="749" t="s">
        <v>2057</v>
      </c>
      <c r="D943" s="1045"/>
      <c r="E943" s="1045"/>
      <c r="F943" s="1045"/>
      <c r="G943" s="1045"/>
      <c r="H943" s="1045"/>
      <c r="I943" s="1045"/>
      <c r="J943" s="1045"/>
      <c r="K943" s="1045"/>
      <c r="L943" s="1045"/>
      <c r="M943" s="1045"/>
    </row>
    <row r="944" spans="1:13" x14ac:dyDescent="0.2">
      <c r="A944" s="693">
        <v>940</v>
      </c>
      <c r="B944" s="749" t="str">
        <f t="shared" si="15"/>
        <v>c, l, u, z, omega or open-ended sections of iron or non-alloy steel, simply cold-formed or cold-finished, obtained from flat-rolled products</v>
      </c>
      <c r="C944" s="749" t="s">
        <v>2059</v>
      </c>
      <c r="D944" s="1045"/>
      <c r="E944" s="1045"/>
      <c r="F944" s="1045"/>
      <c r="G944" s="1045"/>
      <c r="H944" s="1045"/>
      <c r="I944" s="1045"/>
      <c r="J944" s="1045"/>
      <c r="K944" s="1045"/>
      <c r="L944" s="1045"/>
      <c r="M944" s="1045"/>
    </row>
    <row r="945" spans="1:13" x14ac:dyDescent="0.2">
      <c r="A945" s="693">
        <v>941</v>
      </c>
      <c r="B945" s="749" t="str">
        <f t="shared" si="15"/>
        <v>Angles, shapes and sections (other than c, l, u, z, omega or open-ended sections) of iron or non-alloy steel, simply cold-formed or cold-finished, obtained from flat-rolled products</v>
      </c>
      <c r="C945" s="749" t="s">
        <v>2061</v>
      </c>
      <c r="D945" s="1045"/>
      <c r="E945" s="1045"/>
      <c r="F945" s="1045"/>
      <c r="G945" s="1045"/>
      <c r="H945" s="1045"/>
      <c r="I945" s="1045"/>
      <c r="J945" s="1045"/>
      <c r="K945" s="1045"/>
      <c r="L945" s="1045"/>
      <c r="M945" s="1045"/>
    </row>
    <row r="946" spans="1:13" x14ac:dyDescent="0.2">
      <c r="A946" s="693">
        <v>942</v>
      </c>
      <c r="B946" s="749" t="str">
        <f t="shared" si="15"/>
        <v>Angles, shapes and sections, of iron or non-alloy steel, not further worked than cold-formed or cold-finished (excl. profiled sheet)</v>
      </c>
      <c r="C946" s="749" t="s">
        <v>2063</v>
      </c>
      <c r="D946" s="1045"/>
      <c r="E946" s="1045"/>
      <c r="F946" s="1045"/>
      <c r="G946" s="1045"/>
      <c r="H946" s="1045"/>
      <c r="I946" s="1045"/>
      <c r="J946" s="1045"/>
      <c r="K946" s="1045"/>
      <c r="L946" s="1045"/>
      <c r="M946" s="1045"/>
    </row>
    <row r="947" spans="1:13" x14ac:dyDescent="0.2">
      <c r="A947" s="693">
        <v>943</v>
      </c>
      <c r="B947" s="749" t="str">
        <f t="shared" si="15"/>
        <v>Angles, shapes and sections, of iron or non-alloy steel, cold-formed or cold-finished from flat-rolled products and further worked</v>
      </c>
      <c r="C947" s="749" t="s">
        <v>2065</v>
      </c>
      <c r="D947" s="1045"/>
      <c r="E947" s="1045"/>
      <c r="F947" s="1045"/>
      <c r="G947" s="1045"/>
      <c r="H947" s="1045"/>
      <c r="I947" s="1045"/>
      <c r="J947" s="1045"/>
      <c r="K947" s="1045"/>
      <c r="L947" s="1045"/>
      <c r="M947" s="1045"/>
    </row>
    <row r="948" spans="1:13" x14ac:dyDescent="0.2">
      <c r="A948" s="693">
        <v>944</v>
      </c>
      <c r="B948" s="749" t="str">
        <f t="shared" si="15"/>
        <v>Sheets sheets of iron or non-alloy steel, cold-formed or cold finished, profiled "ribbed"</v>
      </c>
      <c r="C948" s="749" t="s">
        <v>2067</v>
      </c>
      <c r="D948" s="1045"/>
      <c r="E948" s="1045"/>
      <c r="F948" s="1045"/>
      <c r="G948" s="1045"/>
      <c r="H948" s="1045"/>
      <c r="I948" s="1045"/>
      <c r="J948" s="1045"/>
      <c r="K948" s="1045"/>
      <c r="L948" s="1045"/>
      <c r="M948" s="1045"/>
    </row>
    <row r="949" spans="1:13" x14ac:dyDescent="0.2">
      <c r="A949" s="693">
        <v>945</v>
      </c>
      <c r="B949" s="749" t="str">
        <f t="shared" si="15"/>
        <v>Angles, shapes and sections, of iron or non-alloy steel, cold-formed or cold-finished from flat-rolled products and further worked (excl. profiled sheet)</v>
      </c>
      <c r="C949" s="749" t="s">
        <v>2069</v>
      </c>
      <c r="D949" s="1045"/>
      <c r="E949" s="1045"/>
      <c r="F949" s="1045"/>
      <c r="G949" s="1045"/>
      <c r="H949" s="1045"/>
      <c r="I949" s="1045"/>
      <c r="J949" s="1045"/>
      <c r="K949" s="1045"/>
      <c r="L949" s="1045"/>
      <c r="M949" s="1045"/>
    </row>
    <row r="950" spans="1:13" x14ac:dyDescent="0.2">
      <c r="A950" s="693">
        <v>946</v>
      </c>
      <c r="B950" s="749" t="str">
        <f t="shared" si="15"/>
        <v>Angles, shapes and sections, of iron or non-alloy steel, cold-formed or cold-finished and further worked, or hot-forged, or hot-formed by other means and further worked, n.e.s. (excl. from flat-rolled products)</v>
      </c>
      <c r="C950" s="749" t="s">
        <v>2071</v>
      </c>
      <c r="D950" s="1045"/>
      <c r="E950" s="1045"/>
      <c r="F950" s="1045"/>
      <c r="G950" s="1045"/>
      <c r="H950" s="1045"/>
      <c r="I950" s="1045"/>
      <c r="J950" s="1045"/>
      <c r="K950" s="1045"/>
      <c r="L950" s="1045"/>
      <c r="M950" s="1045"/>
    </row>
    <row r="951" spans="1:13" x14ac:dyDescent="0.2">
      <c r="A951" s="693">
        <v>947</v>
      </c>
      <c r="B951" s="749" t="str">
        <f t="shared" si="15"/>
        <v>Wire of iron or non-alloy steel, in coils (excl. bars and rods)</v>
      </c>
      <c r="C951" s="749" t="s">
        <v>2073</v>
      </c>
      <c r="D951" s="1045"/>
      <c r="E951" s="1045"/>
      <c r="F951" s="1045"/>
      <c r="G951" s="1045"/>
      <c r="H951" s="1045"/>
      <c r="I951" s="1045"/>
      <c r="J951" s="1045"/>
      <c r="K951" s="1045"/>
      <c r="L951" s="1045"/>
      <c r="M951" s="1045"/>
    </row>
    <row r="952" spans="1:13" x14ac:dyDescent="0.2">
      <c r="A952" s="693">
        <v>948</v>
      </c>
      <c r="B952" s="749" t="str">
        <f t="shared" si="15"/>
        <v>Wire of iron or non-alloy steel, in coils, not plated or coated, whether or not polished (excl. bars and rods)</v>
      </c>
      <c r="C952" s="749" t="s">
        <v>2075</v>
      </c>
      <c r="D952" s="1045"/>
      <c r="E952" s="1045"/>
      <c r="F952" s="1045"/>
      <c r="G952" s="1045"/>
      <c r="H952" s="1045"/>
      <c r="I952" s="1045"/>
      <c r="J952" s="1045"/>
      <c r="K952" s="1045"/>
      <c r="L952" s="1045"/>
      <c r="M952" s="1045"/>
    </row>
    <row r="953" spans="1:13" x14ac:dyDescent="0.2">
      <c r="A953" s="693">
        <v>949</v>
      </c>
      <c r="B953" s="749" t="str">
        <f t="shared" si="15"/>
        <v>Wire of iron or non-alloy steel, in coils, containing by weight &lt; 0,25% carbon, not plated or coated, whether or not polished, with a maximum cross-sectional dimension of &lt; 0,8 mm</v>
      </c>
      <c r="C953" s="749" t="s">
        <v>2077</v>
      </c>
      <c r="D953" s="1045"/>
      <c r="E953" s="1045"/>
      <c r="F953" s="1045"/>
      <c r="G953" s="1045"/>
      <c r="H953" s="1045"/>
      <c r="I953" s="1045"/>
      <c r="J953" s="1045"/>
      <c r="K953" s="1045"/>
      <c r="L953" s="1045"/>
      <c r="M953" s="1045"/>
    </row>
    <row r="954" spans="1:13" x14ac:dyDescent="0.2">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2079</v>
      </c>
      <c r="D954" s="1045"/>
      <c r="E954" s="1045"/>
      <c r="F954" s="1045"/>
      <c r="G954" s="1045"/>
      <c r="H954" s="1045"/>
      <c r="I954" s="1045"/>
      <c r="J954" s="1045"/>
      <c r="K954" s="1045"/>
      <c r="L954" s="1045"/>
      <c r="M954" s="1045"/>
    </row>
    <row r="955" spans="1:13" x14ac:dyDescent="0.2">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2081</v>
      </c>
      <c r="D955" s="1045"/>
      <c r="E955" s="1045"/>
      <c r="F955" s="1045"/>
      <c r="G955" s="1045"/>
      <c r="H955" s="1045"/>
      <c r="I955" s="1045"/>
      <c r="J955" s="1045"/>
      <c r="K955" s="1045"/>
      <c r="L955" s="1045"/>
      <c r="M955" s="1045"/>
    </row>
    <row r="956" spans="1:13" x14ac:dyDescent="0.2">
      <c r="A956" s="693">
        <v>952</v>
      </c>
      <c r="B956" s="749" t="str">
        <f t="shared" si="15"/>
        <v>Wire of iron or non-alloy steel, in coils, containing by weight &gt;= 0,25% but &lt; 0,6% carbon, not plated or coated, whether or not polished (excl. hot-rolled bars and rods)</v>
      </c>
      <c r="C956" s="749" t="s">
        <v>2083</v>
      </c>
      <c r="D956" s="1045"/>
      <c r="E956" s="1045"/>
      <c r="F956" s="1045"/>
      <c r="G956" s="1045"/>
      <c r="H956" s="1045"/>
      <c r="I956" s="1045"/>
      <c r="J956" s="1045"/>
      <c r="K956" s="1045"/>
      <c r="L956" s="1045"/>
      <c r="M956" s="1045"/>
    </row>
    <row r="957" spans="1:13" x14ac:dyDescent="0.2">
      <c r="A957" s="693">
        <v>953</v>
      </c>
      <c r="B957" s="749" t="str">
        <f t="shared" si="15"/>
        <v>Wire of iron or non-alloy steel, in coils, containing by weight &gt;= 0,6% carbon, not plated or coated, whether or not polished (excl. hot-rolled bars and rods)</v>
      </c>
      <c r="C957" s="749" t="s">
        <v>2085</v>
      </c>
      <c r="D957" s="1045"/>
      <c r="E957" s="1045"/>
      <c r="F957" s="1045"/>
      <c r="G957" s="1045"/>
      <c r="H957" s="1045"/>
      <c r="I957" s="1045"/>
      <c r="J957" s="1045"/>
      <c r="K957" s="1045"/>
      <c r="L957" s="1045"/>
      <c r="M957" s="1045"/>
    </row>
    <row r="958" spans="1:13" x14ac:dyDescent="0.2">
      <c r="A958" s="693">
        <v>954</v>
      </c>
      <c r="B958" s="749" t="str">
        <f t="shared" si="15"/>
        <v>Wire of iron or non-alloy steel, in coils, plated or coated with zinc (excl. bars and rods)</v>
      </c>
      <c r="C958" s="749" t="s">
        <v>2087</v>
      </c>
      <c r="D958" s="1045"/>
      <c r="E958" s="1045"/>
      <c r="F958" s="1045"/>
      <c r="G958" s="1045"/>
      <c r="H958" s="1045"/>
      <c r="I958" s="1045"/>
      <c r="J958" s="1045"/>
      <c r="K958" s="1045"/>
      <c r="L958" s="1045"/>
      <c r="M958" s="1045"/>
    </row>
    <row r="959" spans="1:13" x14ac:dyDescent="0.2">
      <c r="A959" s="693">
        <v>955</v>
      </c>
      <c r="B959" s="749" t="str">
        <f t="shared" si="15"/>
        <v>Wire of iron or non-alloy steel, in coils, containing by weight &lt; 0,25% carbon, plated or coated with zinc, with a maximum cross-sectional dimension of &lt; 0,8 mm</v>
      </c>
      <c r="C959" s="749" t="s">
        <v>2089</v>
      </c>
      <c r="D959" s="1045"/>
      <c r="E959" s="1045"/>
      <c r="F959" s="1045"/>
      <c r="G959" s="1045"/>
      <c r="H959" s="1045"/>
      <c r="I959" s="1045"/>
      <c r="J959" s="1045"/>
      <c r="K959" s="1045"/>
      <c r="L959" s="1045"/>
      <c r="M959" s="1045"/>
    </row>
    <row r="960" spans="1:13" x14ac:dyDescent="0.2">
      <c r="A960" s="693">
        <v>956</v>
      </c>
      <c r="B960" s="749" t="str">
        <f t="shared" si="15"/>
        <v>Wire of iron or non-alloy steel, in coils, containing by weight &lt; 0,25% carbon, plated or coated with zinc, with a maximum cross-sectional dimension of &lt; 0,8 mm (excl. bars and rods)</v>
      </c>
      <c r="C960" s="749" t="s">
        <v>2091</v>
      </c>
      <c r="D960" s="1045"/>
      <c r="E960" s="1045"/>
      <c r="F960" s="1045"/>
      <c r="G960" s="1045"/>
      <c r="H960" s="1045"/>
      <c r="I960" s="1045"/>
      <c r="J960" s="1045"/>
      <c r="K960" s="1045"/>
      <c r="L960" s="1045"/>
      <c r="M960" s="1045"/>
    </row>
    <row r="961" spans="1:13" x14ac:dyDescent="0.2">
      <c r="A961" s="693">
        <v>957</v>
      </c>
      <c r="B961" s="749" t="str">
        <f t="shared" si="15"/>
        <v>Wire of iron or non-alloy steel, in coils, containing by weight &gt;= 0,25% but &lt; 0,6% carbon, plated or coated with zinc (excl. bars and rods)</v>
      </c>
      <c r="C961" s="749" t="s">
        <v>2093</v>
      </c>
      <c r="D961" s="1045"/>
      <c r="E961" s="1045"/>
      <c r="F961" s="1045"/>
      <c r="G961" s="1045"/>
      <c r="H961" s="1045"/>
      <c r="I961" s="1045"/>
      <c r="J961" s="1045"/>
      <c r="K961" s="1045"/>
      <c r="L961" s="1045"/>
      <c r="M961" s="1045"/>
    </row>
    <row r="962" spans="1:13" x14ac:dyDescent="0.2">
      <c r="A962" s="693">
        <v>958</v>
      </c>
      <c r="B962" s="749" t="str">
        <f t="shared" si="15"/>
        <v>Wire of iron or non-alloy steel, in coils, containing by weight &gt;= 0,6% carbon, plated or coated with zinc (excl. bars and rods)</v>
      </c>
      <c r="C962" s="749" t="s">
        <v>2095</v>
      </c>
      <c r="D962" s="1045"/>
      <c r="E962" s="1045"/>
      <c r="F962" s="1045"/>
      <c r="G962" s="1045"/>
      <c r="H962" s="1045"/>
      <c r="I962" s="1045"/>
      <c r="J962" s="1045"/>
      <c r="K962" s="1045"/>
      <c r="L962" s="1045"/>
      <c r="M962" s="1045"/>
    </row>
    <row r="963" spans="1:13" x14ac:dyDescent="0.2">
      <c r="A963" s="693">
        <v>959</v>
      </c>
      <c r="B963" s="749" t="str">
        <f t="shared" si="15"/>
        <v>Wire of iron or non-alloy steel, in coils, plated or coated with base metals (excl. plated or coated with zinc, and bars and rods)</v>
      </c>
      <c r="C963" s="749" t="s">
        <v>2097</v>
      </c>
      <c r="D963" s="1045"/>
      <c r="E963" s="1045"/>
      <c r="F963" s="1045"/>
      <c r="G963" s="1045"/>
      <c r="H963" s="1045"/>
      <c r="I963" s="1045"/>
      <c r="J963" s="1045"/>
      <c r="K963" s="1045"/>
      <c r="L963" s="1045"/>
      <c r="M963" s="1045"/>
    </row>
    <row r="964" spans="1:13" x14ac:dyDescent="0.2">
      <c r="A964" s="693">
        <v>960</v>
      </c>
      <c r="B964" s="749" t="str">
        <f t="shared" si="15"/>
        <v>Wire of iron or non-alloy steel, in coils, containing by weight &lt; 0,25% carbon, copper-coated (excl. bars and rods)</v>
      </c>
      <c r="C964" s="749" t="s">
        <v>2099</v>
      </c>
      <c r="D964" s="1045"/>
      <c r="E964" s="1045"/>
      <c r="F964" s="1045"/>
      <c r="G964" s="1045"/>
      <c r="H964" s="1045"/>
      <c r="I964" s="1045"/>
      <c r="J964" s="1045"/>
      <c r="K964" s="1045"/>
      <c r="L964" s="1045"/>
      <c r="M964" s="1045"/>
    </row>
    <row r="965" spans="1:13" x14ac:dyDescent="0.2">
      <c r="A965" s="693">
        <v>961</v>
      </c>
      <c r="B965" s="749" t="str">
        <f t="shared" si="15"/>
        <v>Wire of iron or non-alloy steel, in coils, containing by weight &lt; 0,25% carbon, plated or coated with base metals (excl. products plated or coated with zinc or copper and bars and rods)</v>
      </c>
      <c r="C965" s="749" t="s">
        <v>2101</v>
      </c>
      <c r="D965" s="1045"/>
      <c r="E965" s="1045"/>
      <c r="F965" s="1045"/>
      <c r="G965" s="1045"/>
      <c r="H965" s="1045"/>
      <c r="I965" s="1045"/>
      <c r="J965" s="1045"/>
      <c r="K965" s="1045"/>
      <c r="L965" s="1045"/>
      <c r="M965" s="1045"/>
    </row>
    <row r="966" spans="1:13" x14ac:dyDescent="0.2">
      <c r="A966" s="693">
        <v>962</v>
      </c>
      <c r="B966" s="749" t="str">
        <f t="shared" si="15"/>
        <v>Wire of iron or non-alloy steel, in coils, containing by weight &gt;= 0,25% but &lt; 0,6% carbon, plated or coated with base metals (excl. products plated or coated with zinc, and bars and rods)</v>
      </c>
      <c r="C966" s="749" t="s">
        <v>2103</v>
      </c>
      <c r="D966" s="1045"/>
      <c r="E966" s="1045"/>
      <c r="F966" s="1045"/>
      <c r="G966" s="1045"/>
      <c r="H966" s="1045"/>
      <c r="I966" s="1045"/>
      <c r="J966" s="1045"/>
      <c r="K966" s="1045"/>
      <c r="L966" s="1045"/>
      <c r="M966" s="1045"/>
    </row>
    <row r="967" spans="1:13" x14ac:dyDescent="0.2">
      <c r="A967" s="693">
        <v>963</v>
      </c>
      <c r="B967" s="749" t="str">
        <f t="shared" si="15"/>
        <v>Wire of iron or non-alloy steel, in coils, containing by weight &gt;= 0,6% carbon, plated or coated with base metals (excl. products plated or coated with zinc, and bars and rods)</v>
      </c>
      <c r="C967" s="749" t="s">
        <v>2105</v>
      </c>
      <c r="D967" s="1045"/>
      <c r="E967" s="1045"/>
      <c r="F967" s="1045"/>
      <c r="G967" s="1045"/>
      <c r="H967" s="1045"/>
      <c r="I967" s="1045"/>
      <c r="J967" s="1045"/>
      <c r="K967" s="1045"/>
      <c r="L967" s="1045"/>
      <c r="M967" s="1045"/>
    </row>
    <row r="968" spans="1:13" x14ac:dyDescent="0.2">
      <c r="A968" s="693">
        <v>964</v>
      </c>
      <c r="B968" s="749" t="str">
        <f t="shared" si="15"/>
        <v>Wire of iron or non-alloy steel, in coils, plated or coated (excl. plated or coated with base metals, and bars and rods)</v>
      </c>
      <c r="C968" s="749" t="s">
        <v>2107</v>
      </c>
      <c r="D968" s="1045"/>
      <c r="E968" s="1045"/>
      <c r="F968" s="1045"/>
      <c r="G968" s="1045"/>
      <c r="H968" s="1045"/>
      <c r="I968" s="1045"/>
      <c r="J968" s="1045"/>
      <c r="K968" s="1045"/>
      <c r="L968" s="1045"/>
      <c r="M968" s="1045"/>
    </row>
    <row r="969" spans="1:13" x14ac:dyDescent="0.2">
      <c r="A969" s="693">
        <v>965</v>
      </c>
      <c r="B969" s="749" t="str">
        <f t="shared" si="15"/>
        <v>Wire of iron or non-alloy steel, in coils, containing by weight &lt; 0,25% carbon, plated or coated (excl. products plated or coated with base metals and bars and rods)</v>
      </c>
      <c r="C969" s="749" t="s">
        <v>2109</v>
      </c>
      <c r="D969" s="1045"/>
      <c r="E969" s="1045"/>
      <c r="F969" s="1045"/>
      <c r="G969" s="1045"/>
      <c r="H969" s="1045"/>
      <c r="I969" s="1045"/>
      <c r="J969" s="1045"/>
      <c r="K969" s="1045"/>
      <c r="L969" s="1045"/>
      <c r="M969" s="1045"/>
    </row>
    <row r="970" spans="1:13" x14ac:dyDescent="0.2">
      <c r="A970" s="693">
        <v>966</v>
      </c>
      <c r="B970" s="749" t="str">
        <f t="shared" si="15"/>
        <v>Wire of iron or non-alloy steel, in coils, containing by weight &gt;= 0,25% but &lt; 0,6% carbon, plated or coated (excl. products plated or coated with with base metals, and bars and rods)</v>
      </c>
      <c r="C970" s="749" t="s">
        <v>2111</v>
      </c>
      <c r="D970" s="1045"/>
      <c r="E970" s="1045"/>
      <c r="F970" s="1045"/>
      <c r="G970" s="1045"/>
      <c r="H970" s="1045"/>
      <c r="I970" s="1045"/>
      <c r="J970" s="1045"/>
      <c r="K970" s="1045"/>
      <c r="L970" s="1045"/>
      <c r="M970" s="1045"/>
    </row>
    <row r="971" spans="1:13" x14ac:dyDescent="0.2">
      <c r="A971" s="693">
        <v>967</v>
      </c>
      <c r="B971" s="749" t="str">
        <f t="shared" ref="B971:B1034" si="16">IFERROR(INDEX(C971:M971,$A$4-2),$C971)</f>
        <v>Wire of iron or non-alloy steel, in coils, containing by weight &gt;= 0,6% carbon, plated or coated (excl. products plated or coated with base metals, and bars and rods)</v>
      </c>
      <c r="C971" s="749" t="s">
        <v>2113</v>
      </c>
      <c r="D971" s="1045"/>
      <c r="E971" s="1045"/>
      <c r="F971" s="1045"/>
      <c r="G971" s="1045"/>
      <c r="H971" s="1045"/>
      <c r="I971" s="1045"/>
      <c r="J971" s="1045"/>
      <c r="K971" s="1045"/>
      <c r="L971" s="1045"/>
      <c r="M971" s="1045"/>
    </row>
    <row r="972" spans="1:13" x14ac:dyDescent="0.2">
      <c r="A972" s="693">
        <v>968</v>
      </c>
      <c r="B972" s="749" t="str">
        <f t="shared" si="16"/>
        <v>Stainless steel in ingots or other primary forms (excl. remelting scrap ingots and products obtained by continuous casting); semi-finished products of stainless steel</v>
      </c>
      <c r="C972" s="749" t="s">
        <v>2115</v>
      </c>
      <c r="D972" s="1045"/>
      <c r="E972" s="1045"/>
      <c r="F972" s="1045"/>
      <c r="G972" s="1045"/>
      <c r="H972" s="1045"/>
      <c r="I972" s="1045"/>
      <c r="J972" s="1045"/>
      <c r="K972" s="1045"/>
      <c r="L972" s="1045"/>
      <c r="M972" s="1045"/>
    </row>
    <row r="973" spans="1:13" x14ac:dyDescent="0.2">
      <c r="A973" s="693">
        <v>969</v>
      </c>
      <c r="B973" s="749" t="str">
        <f t="shared" si="16"/>
        <v>Steel, stainless, in ingots and other primary forms (excl. waste and scrap in ingot form, and products obtained by continuous casting)</v>
      </c>
      <c r="C973" s="749" t="s">
        <v>2117</v>
      </c>
      <c r="D973" s="1045"/>
      <c r="E973" s="1045"/>
      <c r="F973" s="1045"/>
      <c r="G973" s="1045"/>
      <c r="H973" s="1045"/>
      <c r="I973" s="1045"/>
      <c r="J973" s="1045"/>
      <c r="K973" s="1045"/>
      <c r="L973" s="1045"/>
      <c r="M973" s="1045"/>
    </row>
    <row r="974" spans="1:13" x14ac:dyDescent="0.2">
      <c r="A974" s="693">
        <v>970</v>
      </c>
      <c r="B974" s="749" t="str">
        <f t="shared" si="16"/>
        <v>Semi-finished products of stainless steel, of rectangular "other than square" cross-section</v>
      </c>
      <c r="C974" s="749" t="s">
        <v>2119</v>
      </c>
      <c r="D974" s="1045"/>
      <c r="E974" s="1045"/>
      <c r="F974" s="1045"/>
      <c r="G974" s="1045"/>
      <c r="H974" s="1045"/>
      <c r="I974" s="1045"/>
      <c r="J974" s="1045"/>
      <c r="K974" s="1045"/>
      <c r="L974" s="1045"/>
      <c r="M974" s="1045"/>
    </row>
    <row r="975" spans="1:13" x14ac:dyDescent="0.2">
      <c r="A975" s="693">
        <v>971</v>
      </c>
      <c r="B975" s="749" t="str">
        <f t="shared" si="16"/>
        <v>Semi-finished products of stainless steel, of rectangular "other than square" cross-section, containing by weight &gt;= 2,5% nickel</v>
      </c>
      <c r="C975" s="749" t="s">
        <v>2121</v>
      </c>
      <c r="D975" s="1045"/>
      <c r="E975" s="1045"/>
      <c r="F975" s="1045"/>
      <c r="G975" s="1045"/>
      <c r="H975" s="1045"/>
      <c r="I975" s="1045"/>
      <c r="J975" s="1045"/>
      <c r="K975" s="1045"/>
      <c r="L975" s="1045"/>
      <c r="M975" s="1045"/>
    </row>
    <row r="976" spans="1:13" x14ac:dyDescent="0.2">
      <c r="A976" s="693">
        <v>972</v>
      </c>
      <c r="B976" s="749" t="str">
        <f t="shared" si="16"/>
        <v>Semi-finished products of stainless steel, of rectangular "other than square" cross-section, containing by weight &lt; 2,5 nickel</v>
      </c>
      <c r="C976" s="749" t="s">
        <v>2123</v>
      </c>
      <c r="D976" s="1045"/>
      <c r="E976" s="1045"/>
      <c r="F976" s="1045"/>
      <c r="G976" s="1045"/>
      <c r="H976" s="1045"/>
      <c r="I976" s="1045"/>
      <c r="J976" s="1045"/>
      <c r="K976" s="1045"/>
      <c r="L976" s="1045"/>
      <c r="M976" s="1045"/>
    </row>
    <row r="977" spans="1:13" x14ac:dyDescent="0.2">
      <c r="A977" s="693">
        <v>973</v>
      </c>
      <c r="B977" s="749" t="str">
        <f t="shared" si="16"/>
        <v>Semi-finished products of stainless steel (excl. of rectangular [other than square] cross-section)</v>
      </c>
      <c r="C977" s="749" t="s">
        <v>2125</v>
      </c>
      <c r="D977" s="1045"/>
      <c r="E977" s="1045"/>
      <c r="F977" s="1045"/>
      <c r="G977" s="1045"/>
      <c r="H977" s="1045"/>
      <c r="I977" s="1045"/>
      <c r="J977" s="1045"/>
      <c r="K977" s="1045"/>
      <c r="L977" s="1045"/>
      <c r="M977" s="1045"/>
    </row>
    <row r="978" spans="1:13" x14ac:dyDescent="0.2">
      <c r="A978" s="693">
        <v>974</v>
      </c>
      <c r="B978" s="749" t="str">
        <f t="shared" si="16"/>
        <v>Semi-finished products of stainless steel, of square cross-section, rolled or obtained by continuous casting</v>
      </c>
      <c r="C978" s="749" t="s">
        <v>2127</v>
      </c>
      <c r="D978" s="1045"/>
      <c r="E978" s="1045"/>
      <c r="F978" s="1045"/>
      <c r="G978" s="1045"/>
      <c r="H978" s="1045"/>
      <c r="I978" s="1045"/>
      <c r="J978" s="1045"/>
      <c r="K978" s="1045"/>
      <c r="L978" s="1045"/>
      <c r="M978" s="1045"/>
    </row>
    <row r="979" spans="1:13" x14ac:dyDescent="0.2">
      <c r="A979" s="693">
        <v>975</v>
      </c>
      <c r="B979" s="749" t="str">
        <f t="shared" si="16"/>
        <v>Semi-finished products of stainless steel, of square cross-section, forged</v>
      </c>
      <c r="C979" s="749" t="s">
        <v>2129</v>
      </c>
      <c r="D979" s="1045"/>
      <c r="E979" s="1045"/>
      <c r="F979" s="1045"/>
      <c r="G979" s="1045"/>
      <c r="H979" s="1045"/>
      <c r="I979" s="1045"/>
      <c r="J979" s="1045"/>
      <c r="K979" s="1045"/>
      <c r="L979" s="1045"/>
      <c r="M979" s="1045"/>
    </row>
    <row r="980" spans="1:13" x14ac:dyDescent="0.2">
      <c r="A980" s="693">
        <v>976</v>
      </c>
      <c r="B980" s="749" t="str">
        <f t="shared" si="16"/>
        <v>Semi-finished products of stainless steel, of circular cross-section or of cross-section other than square or rectangular, rolled or obtained by continuous casting</v>
      </c>
      <c r="C980" s="749" t="s">
        <v>2131</v>
      </c>
      <c r="D980" s="1045"/>
      <c r="E980" s="1045"/>
      <c r="F980" s="1045"/>
      <c r="G980" s="1045"/>
      <c r="H980" s="1045"/>
      <c r="I980" s="1045"/>
      <c r="J980" s="1045"/>
      <c r="K980" s="1045"/>
      <c r="L980" s="1045"/>
      <c r="M980" s="1045"/>
    </row>
    <row r="981" spans="1:13" x14ac:dyDescent="0.2">
      <c r="A981" s="693">
        <v>977</v>
      </c>
      <c r="B981" s="749" t="str">
        <f t="shared" si="16"/>
        <v>Semi-finished products of stainless steel, forged (excl. products of square or rectangular cross-section)</v>
      </c>
      <c r="C981" s="749" t="s">
        <v>2133</v>
      </c>
      <c r="D981" s="1045"/>
      <c r="E981" s="1045"/>
      <c r="F981" s="1045"/>
      <c r="G981" s="1045"/>
      <c r="H981" s="1045"/>
      <c r="I981" s="1045"/>
      <c r="J981" s="1045"/>
      <c r="K981" s="1045"/>
      <c r="L981" s="1045"/>
      <c r="M981" s="1045"/>
    </row>
    <row r="982" spans="1:13" x14ac:dyDescent="0.2">
      <c r="A982" s="693">
        <v>978</v>
      </c>
      <c r="B982" s="749" t="str">
        <f t="shared" si="16"/>
        <v>Flat-rolled products of stainless steel, of a width of &gt;= 600 mm, hot-rolled or cold-rolled "cold-reduced"</v>
      </c>
      <c r="C982" s="749" t="s">
        <v>2135</v>
      </c>
      <c r="D982" s="1045"/>
      <c r="E982" s="1045"/>
      <c r="F982" s="1045"/>
      <c r="G982" s="1045"/>
      <c r="H982" s="1045"/>
      <c r="I982" s="1045"/>
      <c r="J982" s="1045"/>
      <c r="K982" s="1045"/>
      <c r="L982" s="1045"/>
      <c r="M982" s="1045"/>
    </row>
    <row r="983" spans="1:13" x14ac:dyDescent="0.2">
      <c r="A983" s="693">
        <v>979</v>
      </c>
      <c r="B983" s="749" t="str">
        <f t="shared" si="16"/>
        <v>Flat-rolled products of stainless steel, of a width of &gt;= 600 mm, not further worked than hot-rolled, in coils, of a thickness of &gt; 10 mm</v>
      </c>
      <c r="C983" s="749" t="s">
        <v>2137</v>
      </c>
      <c r="D983" s="1045"/>
      <c r="E983" s="1045"/>
      <c r="F983" s="1045"/>
      <c r="G983" s="1045"/>
      <c r="H983" s="1045"/>
      <c r="I983" s="1045"/>
      <c r="J983" s="1045"/>
      <c r="K983" s="1045"/>
      <c r="L983" s="1045"/>
      <c r="M983" s="1045"/>
    </row>
    <row r="984" spans="1:13" x14ac:dyDescent="0.2">
      <c r="A984" s="693">
        <v>980</v>
      </c>
      <c r="B984" s="749" t="str">
        <f t="shared" si="16"/>
        <v>Flat-rolled products of stainless steel, of a width of&gt;= 600 mm, not further worked than hot-rolled, in coils, of a thickness of &gt;= 4,7 mm and &lt;= 10 mm</v>
      </c>
      <c r="C984" s="749" t="s">
        <v>2139</v>
      </c>
      <c r="D984" s="1045"/>
      <c r="E984" s="1045"/>
      <c r="F984" s="1045"/>
      <c r="G984" s="1045"/>
      <c r="H984" s="1045"/>
      <c r="I984" s="1045"/>
      <c r="J984" s="1045"/>
      <c r="K984" s="1045"/>
      <c r="L984" s="1045"/>
      <c r="M984" s="1045"/>
    </row>
    <row r="985" spans="1:13" x14ac:dyDescent="0.2">
      <c r="A985" s="693">
        <v>981</v>
      </c>
      <c r="B985" s="749" t="str">
        <f t="shared" si="16"/>
        <v>Flat-rolled products of stainless steel, of a width of &gt;= 600 mm, not further worked than hot-rolled, in coils, of a thickness of &gt;= 4,75 mm but &lt;= 10 mm, containing by weight &gt;= 2,5 nickel</v>
      </c>
      <c r="C985" s="749" t="s">
        <v>2141</v>
      </c>
      <c r="D985" s="1045"/>
      <c r="E985" s="1045"/>
      <c r="F985" s="1045"/>
      <c r="G985" s="1045"/>
      <c r="H985" s="1045"/>
      <c r="I985" s="1045"/>
      <c r="J985" s="1045"/>
      <c r="K985" s="1045"/>
      <c r="L985" s="1045"/>
      <c r="M985" s="1045"/>
    </row>
    <row r="986" spans="1:13" x14ac:dyDescent="0.2">
      <c r="A986" s="693">
        <v>982</v>
      </c>
      <c r="B986" s="749" t="str">
        <f t="shared" si="16"/>
        <v>Flat-rolled products of stainless steel, of a width of &gt;= 600 mm, not further worked than hot-rolled, in coils, of a thickness of &gt;= 4,75 mm but &lt;= 10 mm, containing by weight &lt; 2,5 nickel</v>
      </c>
      <c r="C986" s="749" t="s">
        <v>2143</v>
      </c>
      <c r="D986" s="1045"/>
      <c r="E986" s="1045"/>
      <c r="F986" s="1045"/>
      <c r="G986" s="1045"/>
      <c r="H986" s="1045"/>
      <c r="I986" s="1045"/>
      <c r="J986" s="1045"/>
      <c r="K986" s="1045"/>
      <c r="L986" s="1045"/>
      <c r="M986" s="1045"/>
    </row>
    <row r="987" spans="1:13" x14ac:dyDescent="0.2">
      <c r="A987" s="693">
        <v>983</v>
      </c>
      <c r="B987" s="749" t="str">
        <f t="shared" si="16"/>
        <v>Flat-rolled products of stainless steel, of a width of &gt;= 600 mm, not further worked than hot-rolled, in coils, of a thickness of &gt;= 3 mm and &lt; 4,75 mm</v>
      </c>
      <c r="C987" s="749" t="s">
        <v>2145</v>
      </c>
      <c r="D987" s="1045"/>
      <c r="E987" s="1045"/>
      <c r="F987" s="1045"/>
      <c r="G987" s="1045"/>
      <c r="H987" s="1045"/>
      <c r="I987" s="1045"/>
      <c r="J987" s="1045"/>
      <c r="K987" s="1045"/>
      <c r="L987" s="1045"/>
      <c r="M987" s="1045"/>
    </row>
    <row r="988" spans="1:13" x14ac:dyDescent="0.2">
      <c r="A988" s="693">
        <v>984</v>
      </c>
      <c r="B988" s="749" t="str">
        <f t="shared" si="16"/>
        <v>Flat-rolled products of stainless steel, of a width of &gt;= 600 mm, not further worked than hot-rolled, in coils, of a thickness of &gt;= 3 mm but &lt;= 4,75 mm, containing by weight &gt;= 2,5 nickel</v>
      </c>
      <c r="C988" s="749" t="s">
        <v>2147</v>
      </c>
      <c r="D988" s="1045"/>
      <c r="E988" s="1045"/>
      <c r="F988" s="1045"/>
      <c r="G988" s="1045"/>
      <c r="H988" s="1045"/>
      <c r="I988" s="1045"/>
      <c r="J988" s="1045"/>
      <c r="K988" s="1045"/>
      <c r="L988" s="1045"/>
      <c r="M988" s="1045"/>
    </row>
    <row r="989" spans="1:13" x14ac:dyDescent="0.2">
      <c r="A989" s="693">
        <v>985</v>
      </c>
      <c r="B989" s="749" t="str">
        <f t="shared" si="16"/>
        <v>Flat-rolled products of stainless steel, of a width of &gt;= 600 mm, not further worked than hot-rolled, in coils, of a thickness of &gt;= 3 mm but &lt;= 4,75 mm, containing by weight &lt; 2,5 nickel</v>
      </c>
      <c r="C989" s="749" t="s">
        <v>2149</v>
      </c>
      <c r="D989" s="1045"/>
      <c r="E989" s="1045"/>
      <c r="F989" s="1045"/>
      <c r="G989" s="1045"/>
      <c r="H989" s="1045"/>
      <c r="I989" s="1045"/>
      <c r="J989" s="1045"/>
      <c r="K989" s="1045"/>
      <c r="L989" s="1045"/>
      <c r="M989" s="1045"/>
    </row>
    <row r="990" spans="1:13" x14ac:dyDescent="0.2">
      <c r="A990" s="693">
        <v>986</v>
      </c>
      <c r="B990" s="749" t="str">
        <f t="shared" si="16"/>
        <v>Flat-rolled products of stainless steel, of a width of &gt;= 600 mm, not further worked than hot-rolled, in coils, of a thickness of &lt; 3 mm</v>
      </c>
      <c r="C990" s="749" t="s">
        <v>2151</v>
      </c>
      <c r="D990" s="1045"/>
      <c r="E990" s="1045"/>
      <c r="F990" s="1045"/>
      <c r="G990" s="1045"/>
      <c r="H990" s="1045"/>
      <c r="I990" s="1045"/>
      <c r="J990" s="1045"/>
      <c r="K990" s="1045"/>
      <c r="L990" s="1045"/>
      <c r="M990" s="1045"/>
    </row>
    <row r="991" spans="1:13" x14ac:dyDescent="0.2">
      <c r="A991" s="693">
        <v>987</v>
      </c>
      <c r="B991" s="749" t="str">
        <f t="shared" si="16"/>
        <v>Flat-rolled products of stainless steel, of a width of &gt;= 600 mm, not further worked than hot-rolled, in coils, of a thickness of &lt; 3 mm, containing by weight &gt;= 2,5 nickel</v>
      </c>
      <c r="C991" s="749" t="s">
        <v>2153</v>
      </c>
      <c r="D991" s="1045"/>
      <c r="E991" s="1045"/>
      <c r="F991" s="1045"/>
      <c r="G991" s="1045"/>
      <c r="H991" s="1045"/>
      <c r="I991" s="1045"/>
      <c r="J991" s="1045"/>
      <c r="K991" s="1045"/>
      <c r="L991" s="1045"/>
      <c r="M991" s="1045"/>
    </row>
    <row r="992" spans="1:13" x14ac:dyDescent="0.2">
      <c r="A992" s="693">
        <v>988</v>
      </c>
      <c r="B992" s="749" t="str">
        <f t="shared" si="16"/>
        <v>Flat-rolled products of stainless steel, of a width of &gt;= 600 mm, not further worked than hot-rolled, in coils, of a thickness of &lt; 3 mm, containing by weight &lt; 2,5 nickel</v>
      </c>
      <c r="C992" s="749" t="s">
        <v>2155</v>
      </c>
      <c r="D992" s="1045"/>
      <c r="E992" s="1045"/>
      <c r="F992" s="1045"/>
      <c r="G992" s="1045"/>
      <c r="H992" s="1045"/>
      <c r="I992" s="1045"/>
      <c r="J992" s="1045"/>
      <c r="K992" s="1045"/>
      <c r="L992" s="1045"/>
      <c r="M992" s="1045"/>
    </row>
    <row r="993" spans="1:13" x14ac:dyDescent="0.2">
      <c r="A993" s="693">
        <v>989</v>
      </c>
      <c r="B993" s="749" t="str">
        <f t="shared" si="16"/>
        <v>Flat-rolled products of stainless steel, of a width of &gt;= 600 mm, not further worked than hot-rolled, not in coils, of a thickness of &gt; 10 mm</v>
      </c>
      <c r="C993" s="749" t="s">
        <v>2157</v>
      </c>
      <c r="D993" s="1045"/>
      <c r="E993" s="1045"/>
      <c r="F993" s="1045"/>
      <c r="G993" s="1045"/>
      <c r="H993" s="1045"/>
      <c r="I993" s="1045"/>
      <c r="J993" s="1045"/>
      <c r="K993" s="1045"/>
      <c r="L993" s="1045"/>
      <c r="M993" s="1045"/>
    </row>
    <row r="994" spans="1:13" x14ac:dyDescent="0.2">
      <c r="A994" s="693">
        <v>990</v>
      </c>
      <c r="B994" s="749" t="str">
        <f t="shared" si="16"/>
        <v>Flat-rolled products of stainless steel, of a width of &gt;= 600 mm, not further worked than hot-rolled, not in coils, of a thickness of &gt; 10 mm, containing by weight &gt;= 2,5 nickel</v>
      </c>
      <c r="C994" s="749" t="s">
        <v>2159</v>
      </c>
      <c r="D994" s="1045"/>
      <c r="E994" s="1045"/>
      <c r="F994" s="1045"/>
      <c r="G994" s="1045"/>
      <c r="H994" s="1045"/>
      <c r="I994" s="1045"/>
      <c r="J994" s="1045"/>
      <c r="K994" s="1045"/>
      <c r="L994" s="1045"/>
      <c r="M994" s="1045"/>
    </row>
    <row r="995" spans="1:13" x14ac:dyDescent="0.2">
      <c r="A995" s="693">
        <v>991</v>
      </c>
      <c r="B995" s="749" t="str">
        <f t="shared" si="16"/>
        <v>Flat-rolled products of stainless steel, of a width of &gt;= 600 mm, not further worked than hot-rolled, not in coils, of a thickness of &gt; 10 mm, containing by weight &lt; 2,5 nickel</v>
      </c>
      <c r="C995" s="749" t="s">
        <v>2161</v>
      </c>
      <c r="D995" s="1045"/>
      <c r="E995" s="1045"/>
      <c r="F995" s="1045"/>
      <c r="G995" s="1045"/>
      <c r="H995" s="1045"/>
      <c r="I995" s="1045"/>
      <c r="J995" s="1045"/>
      <c r="K995" s="1045"/>
      <c r="L995" s="1045"/>
      <c r="M995" s="1045"/>
    </row>
    <row r="996" spans="1:13" x14ac:dyDescent="0.2">
      <c r="A996" s="693">
        <v>992</v>
      </c>
      <c r="B996" s="749" t="str">
        <f t="shared" si="16"/>
        <v>Flat-rolled products of stainless steel, of a width of &gt;= 600 mm, not further worked than hot-rolled, not in coils, of a thickness of &gt;= 4,75 mm and &lt;= 10 mm</v>
      </c>
      <c r="C996" s="749" t="s">
        <v>2163</v>
      </c>
      <c r="D996" s="1045"/>
      <c r="E996" s="1045"/>
      <c r="F996" s="1045"/>
      <c r="G996" s="1045"/>
      <c r="H996" s="1045"/>
      <c r="I996" s="1045"/>
      <c r="J996" s="1045"/>
      <c r="K996" s="1045"/>
      <c r="L996" s="1045"/>
      <c r="M996" s="1045"/>
    </row>
    <row r="997" spans="1:13" x14ac:dyDescent="0.2">
      <c r="A997" s="693">
        <v>993</v>
      </c>
      <c r="B997" s="749" t="str">
        <f t="shared" si="16"/>
        <v>Flat-rolled products of stainless steel, of a width of &gt;= 600 mm, not further worked than hot-rolled, not in coils, of a thickness of &gt;= 4,75 mm but &lt;= 10 mm, containing by weight &gt;= 2,5% nickel</v>
      </c>
      <c r="C997" s="749" t="s">
        <v>2165</v>
      </c>
      <c r="D997" s="1045"/>
      <c r="E997" s="1045"/>
      <c r="F997" s="1045"/>
      <c r="G997" s="1045"/>
      <c r="H997" s="1045"/>
      <c r="I997" s="1045"/>
      <c r="J997" s="1045"/>
      <c r="K997" s="1045"/>
      <c r="L997" s="1045"/>
      <c r="M997" s="1045"/>
    </row>
    <row r="998" spans="1:13" x14ac:dyDescent="0.2">
      <c r="A998" s="693">
        <v>994</v>
      </c>
      <c r="B998" s="749" t="str">
        <f t="shared" si="16"/>
        <v>Flat-rolled products of stainless steel, of a width of &gt;= 600 mm, not further worked than hot-rolled, not in coils, of a thickness of &gt;= 4,75 mm but &lt;= 10 mm, containing by weight &lt; 2,5% nickel</v>
      </c>
      <c r="C998" s="749" t="s">
        <v>2167</v>
      </c>
      <c r="D998" s="1045"/>
      <c r="E998" s="1045"/>
      <c r="F998" s="1045"/>
      <c r="G998" s="1045"/>
      <c r="H998" s="1045"/>
      <c r="I998" s="1045"/>
      <c r="J998" s="1045"/>
      <c r="K998" s="1045"/>
      <c r="L998" s="1045"/>
      <c r="M998" s="1045"/>
    </row>
    <row r="999" spans="1:13" x14ac:dyDescent="0.2">
      <c r="A999" s="693">
        <v>995</v>
      </c>
      <c r="B999" s="749" t="str">
        <f t="shared" si="16"/>
        <v>Flat-rolled products of stainless steel, of a width of &gt;= 600 mm, not further worked than hot-rolled, not in coils, of a thickness of &gt;= 3 mm and &lt; 4,75 mm</v>
      </c>
      <c r="C999" s="749" t="s">
        <v>2169</v>
      </c>
      <c r="D999" s="1045"/>
      <c r="E999" s="1045"/>
      <c r="F999" s="1045"/>
      <c r="G999" s="1045"/>
      <c r="H999" s="1045"/>
      <c r="I999" s="1045"/>
      <c r="J999" s="1045"/>
      <c r="K999" s="1045"/>
      <c r="L999" s="1045"/>
      <c r="M999" s="1045"/>
    </row>
    <row r="1000" spans="1:13" x14ac:dyDescent="0.2">
      <c r="A1000" s="693">
        <v>996</v>
      </c>
      <c r="B1000" s="749" t="str">
        <f t="shared" si="16"/>
        <v>Flat-rolled products of stainless steel, of a width of &gt;= 600 mm, not further worked than hot-rolled, not in coils, of a thickness of &lt; 3 mm</v>
      </c>
      <c r="C1000" s="749" t="s">
        <v>2171</v>
      </c>
      <c r="D1000" s="1045"/>
      <c r="E1000" s="1045"/>
      <c r="F1000" s="1045"/>
      <c r="G1000" s="1045"/>
      <c r="H1000" s="1045"/>
      <c r="I1000" s="1045"/>
      <c r="J1000" s="1045"/>
      <c r="K1000" s="1045"/>
      <c r="L1000" s="1045"/>
      <c r="M1000" s="1045"/>
    </row>
    <row r="1001" spans="1:13" x14ac:dyDescent="0.2">
      <c r="A1001" s="693">
        <v>997</v>
      </c>
      <c r="B1001" s="749" t="str">
        <f t="shared" si="16"/>
        <v>Flat-rolled products of stainless steel, of a width of &gt;= 600 mm, not further worked than cold-rolled "cold-reduced", of a thickness of &gt;= 4,75 mm</v>
      </c>
      <c r="C1001" s="749" t="s">
        <v>2173</v>
      </c>
      <c r="D1001" s="1045"/>
      <c r="E1001" s="1045"/>
      <c r="F1001" s="1045"/>
      <c r="G1001" s="1045"/>
      <c r="H1001" s="1045"/>
      <c r="I1001" s="1045"/>
      <c r="J1001" s="1045"/>
      <c r="K1001" s="1045"/>
      <c r="L1001" s="1045"/>
      <c r="M1001" s="1045"/>
    </row>
    <row r="1002" spans="1:13" x14ac:dyDescent="0.2">
      <c r="A1002" s="693">
        <v>998</v>
      </c>
      <c r="B1002" s="749" t="str">
        <f t="shared" si="16"/>
        <v>Flat-rolled products of stainless steel, of a width of &gt;= 600 mm, not further worked than cold-rolled "cold-reduced", of a thickness of &gt;= 3 mm but &lt; 4,75 mm</v>
      </c>
      <c r="C1002" s="749" t="s">
        <v>2175</v>
      </c>
      <c r="D1002" s="1045"/>
      <c r="E1002" s="1045"/>
      <c r="F1002" s="1045"/>
      <c r="G1002" s="1045"/>
      <c r="H1002" s="1045"/>
      <c r="I1002" s="1045"/>
      <c r="J1002" s="1045"/>
      <c r="K1002" s="1045"/>
      <c r="L1002" s="1045"/>
      <c r="M1002" s="1045"/>
    </row>
    <row r="1003" spans="1:13" x14ac:dyDescent="0.2">
      <c r="A1003" s="693">
        <v>999</v>
      </c>
      <c r="B1003" s="749" t="str">
        <f t="shared" si="16"/>
        <v>Flat-rolled products of stainless steel, of a width of &gt;= 600 mm, not further worked than cold-rolled "cold-reduced", of a thickness of &gt;= 3 mm but &lt;= 4,75 mm, containing by weight &gt;= 2,5% nickel</v>
      </c>
      <c r="C1003" s="749" t="s">
        <v>2177</v>
      </c>
      <c r="D1003" s="1045"/>
      <c r="E1003" s="1045"/>
      <c r="F1003" s="1045"/>
      <c r="G1003" s="1045"/>
      <c r="H1003" s="1045"/>
      <c r="I1003" s="1045"/>
      <c r="J1003" s="1045"/>
      <c r="K1003" s="1045"/>
      <c r="L1003" s="1045"/>
      <c r="M1003" s="1045"/>
    </row>
    <row r="1004" spans="1:13" x14ac:dyDescent="0.2">
      <c r="A1004" s="693">
        <v>1000</v>
      </c>
      <c r="B1004" s="749" t="str">
        <f t="shared" si="16"/>
        <v>Flat-rolled products of stainless steel, of a width of &gt;= 600 mm, not further worked than cold-rolled "cold-reduced", of a thickness of &gt;= 3 mm but &lt;= 4,75 mm, containing by weight &lt; 2,5% nickel</v>
      </c>
      <c r="C1004" s="749" t="s">
        <v>2179</v>
      </c>
      <c r="D1004" s="1045"/>
      <c r="E1004" s="1045"/>
      <c r="F1004" s="1045"/>
      <c r="G1004" s="1045"/>
      <c r="H1004" s="1045"/>
      <c r="I1004" s="1045"/>
      <c r="J1004" s="1045"/>
      <c r="K1004" s="1045"/>
      <c r="L1004" s="1045"/>
      <c r="M1004" s="1045"/>
    </row>
    <row r="1005" spans="1:13" x14ac:dyDescent="0.2">
      <c r="A1005" s="693">
        <v>1001</v>
      </c>
      <c r="B1005" s="749" t="str">
        <f t="shared" si="16"/>
        <v>Flat-rolled products of stainless steel, of a width of &gt;= 600 mm, not further worked than cold-rolled "cold-reduced", of a thickness of &gt; 1 mm but &lt; 3 mm</v>
      </c>
      <c r="C1005" s="749" t="s">
        <v>2181</v>
      </c>
      <c r="D1005" s="1045"/>
      <c r="E1005" s="1045"/>
      <c r="F1005" s="1045"/>
      <c r="G1005" s="1045"/>
      <c r="H1005" s="1045"/>
      <c r="I1005" s="1045"/>
      <c r="J1005" s="1045"/>
      <c r="K1005" s="1045"/>
      <c r="L1005" s="1045"/>
      <c r="M1005" s="1045"/>
    </row>
    <row r="1006" spans="1:13" x14ac:dyDescent="0.2">
      <c r="A1006" s="693">
        <v>1002</v>
      </c>
      <c r="B1006" s="749" t="str">
        <f t="shared" si="16"/>
        <v>Flat-rolled products of stainless steel, of a width of &gt;= 600 mm, not further worked than cold-rolled "cold-reduced", of a thickness of &gt; 1 mm but &lt; 3 mm, containing by weight &gt;= 2,5% nickel</v>
      </c>
      <c r="C1006" s="749" t="s">
        <v>2183</v>
      </c>
      <c r="D1006" s="1045"/>
      <c r="E1006" s="1045"/>
      <c r="F1006" s="1045"/>
      <c r="G1006" s="1045"/>
      <c r="H1006" s="1045"/>
      <c r="I1006" s="1045"/>
      <c r="J1006" s="1045"/>
      <c r="K1006" s="1045"/>
      <c r="L1006" s="1045"/>
      <c r="M1006" s="1045"/>
    </row>
    <row r="1007" spans="1:13" x14ac:dyDescent="0.2">
      <c r="A1007" s="693">
        <v>1003</v>
      </c>
      <c r="B1007" s="749" t="str">
        <f t="shared" si="16"/>
        <v>Flat-rolled products of stainless steel, of a width of &gt;= 600 mm, not further worked than cold-rolled "cold-reduced", of a thickness of &gt; 1 mm but &lt; 3 mm, containing by weight &lt; 2,5% nickel</v>
      </c>
      <c r="C1007" s="749" t="s">
        <v>2185</v>
      </c>
      <c r="D1007" s="1045"/>
      <c r="E1007" s="1045"/>
      <c r="F1007" s="1045"/>
      <c r="G1007" s="1045"/>
      <c r="H1007" s="1045"/>
      <c r="I1007" s="1045"/>
      <c r="J1007" s="1045"/>
      <c r="K1007" s="1045"/>
      <c r="L1007" s="1045"/>
      <c r="M1007" s="1045"/>
    </row>
    <row r="1008" spans="1:13" x14ac:dyDescent="0.2">
      <c r="A1008" s="693">
        <v>1004</v>
      </c>
      <c r="B1008" s="749" t="str">
        <f t="shared" si="16"/>
        <v>Flat-rolled products of stainless steel, of a width of &gt;= 600 mm, not further worked than cold-rolled "cold-reduced", of a thickness of &gt;= 0,5 mm but &lt;= 1 mm</v>
      </c>
      <c r="C1008" s="749" t="s">
        <v>2187</v>
      </c>
      <c r="D1008" s="1045"/>
      <c r="E1008" s="1045"/>
      <c r="F1008" s="1045"/>
      <c r="G1008" s="1045"/>
      <c r="H1008" s="1045"/>
      <c r="I1008" s="1045"/>
      <c r="J1008" s="1045"/>
      <c r="K1008" s="1045"/>
      <c r="L1008" s="1045"/>
      <c r="M1008" s="1045"/>
    </row>
    <row r="1009" spans="1:13" x14ac:dyDescent="0.2">
      <c r="A1009" s="693">
        <v>1005</v>
      </c>
      <c r="B1009" s="749" t="str">
        <f t="shared" si="16"/>
        <v>Flat-rolled products of stainless steel, of a width of &gt;= 600 mm, not further worked than cold-rolled "cold-reduced", of a thickness of &gt;= 0,5 mm but &lt;= 1 mm, containing by weight &gt;= 2,5% nickel</v>
      </c>
      <c r="C1009" s="749" t="s">
        <v>2189</v>
      </c>
      <c r="D1009" s="1045"/>
      <c r="E1009" s="1045"/>
      <c r="F1009" s="1045"/>
      <c r="G1009" s="1045"/>
      <c r="H1009" s="1045"/>
      <c r="I1009" s="1045"/>
      <c r="J1009" s="1045"/>
      <c r="K1009" s="1045"/>
      <c r="L1009" s="1045"/>
      <c r="M1009" s="1045"/>
    </row>
    <row r="1010" spans="1:13" x14ac:dyDescent="0.2">
      <c r="A1010" s="693">
        <v>1006</v>
      </c>
      <c r="B1010" s="749" t="str">
        <f t="shared" si="16"/>
        <v>Flat-rolled products of stainless steel, of a width of &gt;= 600 mm, not further worked than cold-rolled "cold-reduced", of a thickness of &gt;= 0,5 mm but &lt;= 1 mm, containing by weight &lt; 2,5% nickel</v>
      </c>
      <c r="C1010" s="749" t="s">
        <v>2191</v>
      </c>
      <c r="D1010" s="1045"/>
      <c r="E1010" s="1045"/>
      <c r="F1010" s="1045"/>
      <c r="G1010" s="1045"/>
      <c r="H1010" s="1045"/>
      <c r="I1010" s="1045"/>
      <c r="J1010" s="1045"/>
      <c r="K1010" s="1045"/>
      <c r="L1010" s="1045"/>
      <c r="M1010" s="1045"/>
    </row>
    <row r="1011" spans="1:13" x14ac:dyDescent="0.2">
      <c r="A1011" s="693">
        <v>1007</v>
      </c>
      <c r="B1011" s="749" t="str">
        <f t="shared" si="16"/>
        <v>Flat-rolled products of stainless steel, of a width of &gt;= 600 mm, not further worked than cold-rolled "cold-reduced", of a thickness of &lt; 0,5 mm</v>
      </c>
      <c r="C1011" s="749" t="s">
        <v>2193</v>
      </c>
      <c r="D1011" s="1045"/>
      <c r="E1011" s="1045"/>
      <c r="F1011" s="1045"/>
      <c r="G1011" s="1045"/>
      <c r="H1011" s="1045"/>
      <c r="I1011" s="1045"/>
      <c r="J1011" s="1045"/>
      <c r="K1011" s="1045"/>
      <c r="L1011" s="1045"/>
      <c r="M1011" s="1045"/>
    </row>
    <row r="1012" spans="1:13" x14ac:dyDescent="0.2">
      <c r="A1012" s="693">
        <v>1008</v>
      </c>
      <c r="B1012" s="749" t="str">
        <f t="shared" si="16"/>
        <v>Flat-rolled products of stainless steel, of a width of &gt;= 600 mm, not further worked than cold-rolled "cold-reduced", of a thickness of &lt; 0,5 mm, containing by weight &gt;= 2,5% nickel</v>
      </c>
      <c r="C1012" s="749" t="s">
        <v>2195</v>
      </c>
      <c r="D1012" s="1045"/>
      <c r="E1012" s="1045"/>
      <c r="F1012" s="1045"/>
      <c r="G1012" s="1045"/>
      <c r="H1012" s="1045"/>
      <c r="I1012" s="1045"/>
      <c r="J1012" s="1045"/>
      <c r="K1012" s="1045"/>
      <c r="L1012" s="1045"/>
      <c r="M1012" s="1045"/>
    </row>
    <row r="1013" spans="1:13" x14ac:dyDescent="0.2">
      <c r="A1013" s="693">
        <v>1009</v>
      </c>
      <c r="B1013" s="749" t="str">
        <f t="shared" si="16"/>
        <v>Flat-rolled products of stainless steel, of a width of &gt;= 600 mm, not further worked than cold-rolled "cold-reduced", of a thickness of &lt; 0,5 mm, containing by weight &lt; 2,5% nickel</v>
      </c>
      <c r="C1013" s="749" t="s">
        <v>2197</v>
      </c>
      <c r="D1013" s="1045"/>
      <c r="E1013" s="1045"/>
      <c r="F1013" s="1045"/>
      <c r="G1013" s="1045"/>
      <c r="H1013" s="1045"/>
      <c r="I1013" s="1045"/>
      <c r="J1013" s="1045"/>
      <c r="K1013" s="1045"/>
      <c r="L1013" s="1045"/>
      <c r="M1013" s="1045"/>
    </row>
    <row r="1014" spans="1:13" x14ac:dyDescent="0.2">
      <c r="A1014" s="693">
        <v>1010</v>
      </c>
      <c r="B1014" s="749" t="str">
        <f t="shared" si="16"/>
        <v>Flat-rolled products of stainless steel, of a width of &gt;= 600 mm, hot-rolled or cold-rolled "cold-reduced" and further worked</v>
      </c>
      <c r="C1014" s="749" t="s">
        <v>2199</v>
      </c>
      <c r="D1014" s="1045"/>
      <c r="E1014" s="1045"/>
      <c r="F1014" s="1045"/>
      <c r="G1014" s="1045"/>
      <c r="H1014" s="1045"/>
      <c r="I1014" s="1045"/>
      <c r="J1014" s="1045"/>
      <c r="K1014" s="1045"/>
      <c r="L1014" s="1045"/>
      <c r="M1014" s="1045"/>
    </row>
    <row r="1015" spans="1:13" x14ac:dyDescent="0.2">
      <c r="A1015" s="693">
        <v>1011</v>
      </c>
      <c r="B1015" s="749" t="str">
        <f t="shared" si="16"/>
        <v>Flat-rolled products of stainless steel, of a width of &gt;= 600 mm, hot-rolled or cold-rolled "cold-reduced" and further worked, perforated</v>
      </c>
      <c r="C1015" s="749" t="s">
        <v>2201</v>
      </c>
      <c r="D1015" s="1045"/>
      <c r="E1015" s="1045"/>
      <c r="F1015" s="1045"/>
      <c r="G1015" s="1045"/>
      <c r="H1015" s="1045"/>
      <c r="I1015" s="1045"/>
      <c r="J1015" s="1045"/>
      <c r="K1015" s="1045"/>
      <c r="L1015" s="1045"/>
      <c r="M1015" s="1045"/>
    </row>
    <row r="1016" spans="1:13" x14ac:dyDescent="0.2">
      <c r="A1016" s="693">
        <v>1012</v>
      </c>
      <c r="B1016" s="749" t="str">
        <f t="shared" si="16"/>
        <v>Flat-rolled products of stainless steel, of a width of &gt;= 600 mm, hot-rolled or cold-rolled "cold-reduced" and further worked, non-perforated</v>
      </c>
      <c r="C1016" s="749" t="s">
        <v>2203</v>
      </c>
      <c r="D1016" s="1045"/>
      <c r="E1016" s="1045"/>
      <c r="F1016" s="1045"/>
      <c r="G1016" s="1045"/>
      <c r="H1016" s="1045"/>
      <c r="I1016" s="1045"/>
      <c r="J1016" s="1045"/>
      <c r="K1016" s="1045"/>
      <c r="L1016" s="1045"/>
      <c r="M1016" s="1045"/>
    </row>
    <row r="1017" spans="1:13" x14ac:dyDescent="0.2">
      <c r="A1017" s="693">
        <v>1013</v>
      </c>
      <c r="B1017" s="749" t="str">
        <f t="shared" si="16"/>
        <v>Flat-rolled products of stainless steel, of a width of &lt; 600 mm, hot-rolled or cold-rolled "cold-reduced"</v>
      </c>
      <c r="C1017" s="749" t="s">
        <v>2205</v>
      </c>
      <c r="D1017" s="1045"/>
      <c r="E1017" s="1045"/>
      <c r="F1017" s="1045"/>
      <c r="G1017" s="1045"/>
      <c r="H1017" s="1045"/>
      <c r="I1017" s="1045"/>
      <c r="J1017" s="1045"/>
      <c r="K1017" s="1045"/>
      <c r="L1017" s="1045"/>
      <c r="M1017" s="1045"/>
    </row>
    <row r="1018" spans="1:13" x14ac:dyDescent="0.2">
      <c r="A1018" s="693">
        <v>1014</v>
      </c>
      <c r="B1018" s="749" t="str">
        <f t="shared" si="16"/>
        <v>Flat-rolled products of stainless steel, of a width of &lt; 600 mm, not further worked than hot-rolled, of a thickness of &gt;= 4,75 mm</v>
      </c>
      <c r="C1018" s="749" t="s">
        <v>2207</v>
      </c>
      <c r="D1018" s="1045"/>
      <c r="E1018" s="1045"/>
      <c r="F1018" s="1045"/>
      <c r="G1018" s="1045"/>
      <c r="H1018" s="1045"/>
      <c r="I1018" s="1045"/>
      <c r="J1018" s="1045"/>
      <c r="K1018" s="1045"/>
      <c r="L1018" s="1045"/>
      <c r="M1018" s="1045"/>
    </row>
    <row r="1019" spans="1:13" x14ac:dyDescent="0.2">
      <c r="A1019" s="693">
        <v>1015</v>
      </c>
      <c r="B1019" s="749" t="str">
        <f t="shared" si="16"/>
        <v>Flat-rolled products of stainless steel, of a width of &lt; 600 mm, not further worked than hot-rolled, of a thickness of &lt; 4,75 mm</v>
      </c>
      <c r="C1019" s="749" t="s">
        <v>2209</v>
      </c>
      <c r="D1019" s="1045"/>
      <c r="E1019" s="1045"/>
      <c r="F1019" s="1045"/>
      <c r="G1019" s="1045"/>
      <c r="H1019" s="1045"/>
      <c r="I1019" s="1045"/>
      <c r="J1019" s="1045"/>
      <c r="K1019" s="1045"/>
      <c r="L1019" s="1045"/>
      <c r="M1019" s="1045"/>
    </row>
    <row r="1020" spans="1:13" x14ac:dyDescent="0.2">
      <c r="A1020" s="693">
        <v>1016</v>
      </c>
      <c r="B1020" s="749" t="str">
        <f t="shared" si="16"/>
        <v>Flat-rolled products of stainless steel, of a width of &lt; 600 mm, not further worked than cold-rolled "cold-reduced"</v>
      </c>
      <c r="C1020" s="749" t="s">
        <v>2211</v>
      </c>
      <c r="D1020" s="1045"/>
      <c r="E1020" s="1045"/>
      <c r="F1020" s="1045"/>
      <c r="G1020" s="1045"/>
      <c r="H1020" s="1045"/>
      <c r="I1020" s="1045"/>
      <c r="J1020" s="1045"/>
      <c r="K1020" s="1045"/>
      <c r="L1020" s="1045"/>
      <c r="M1020" s="1045"/>
    </row>
    <row r="1021" spans="1:13" x14ac:dyDescent="0.2">
      <c r="A1021" s="693">
        <v>1017</v>
      </c>
      <c r="B1021" s="749" t="str">
        <f t="shared" si="16"/>
        <v>Flat-rolled products of stainless steel, of a width of &lt; 600 mm, not further worked than cold-rolled "cold-reduced", of a thickness of &gt;= 3 mm and containing by weight &gt;= 2,5% nickel</v>
      </c>
      <c r="C1021" s="749" t="s">
        <v>2213</v>
      </c>
      <c r="D1021" s="1045"/>
      <c r="E1021" s="1045"/>
      <c r="F1021" s="1045"/>
      <c r="G1021" s="1045"/>
      <c r="H1021" s="1045"/>
      <c r="I1021" s="1045"/>
      <c r="J1021" s="1045"/>
      <c r="K1021" s="1045"/>
      <c r="L1021" s="1045"/>
      <c r="M1021" s="1045"/>
    </row>
    <row r="1022" spans="1:13" x14ac:dyDescent="0.2">
      <c r="A1022" s="693">
        <v>1018</v>
      </c>
      <c r="B1022" s="749" t="str">
        <f t="shared" si="16"/>
        <v>Flat-rolled products of stainless steel, of a width of &lt; 600 mm, not further worked than cold-rolled "cold-reduced", of a thickness of &gt;= 3 mm and containing by weight &lt; 2,5% nickel</v>
      </c>
      <c r="C1022" s="749" t="s">
        <v>2215</v>
      </c>
      <c r="D1022" s="1045"/>
      <c r="E1022" s="1045"/>
      <c r="F1022" s="1045"/>
      <c r="G1022" s="1045"/>
      <c r="H1022" s="1045"/>
      <c r="I1022" s="1045"/>
      <c r="J1022" s="1045"/>
      <c r="K1022" s="1045"/>
      <c r="L1022" s="1045"/>
      <c r="M1022" s="1045"/>
    </row>
    <row r="1023" spans="1:13" x14ac:dyDescent="0.2">
      <c r="A1023" s="693">
        <v>1019</v>
      </c>
      <c r="B1023" s="749" t="str">
        <f t="shared" si="16"/>
        <v>Flat-rolled products of stainless steel, of a width of &lt; 600 mm, not further worked than cold-rolled "cold-reduced", of a thickness of &gt; 0,35 mm but &lt; 3 mm, and containing by weight &gt;= 2,5% nickel</v>
      </c>
      <c r="C1023" s="749" t="s">
        <v>2217</v>
      </c>
      <c r="D1023" s="1045"/>
      <c r="E1023" s="1045"/>
      <c r="F1023" s="1045"/>
      <c r="G1023" s="1045"/>
      <c r="H1023" s="1045"/>
      <c r="I1023" s="1045"/>
      <c r="J1023" s="1045"/>
      <c r="K1023" s="1045"/>
      <c r="L1023" s="1045"/>
      <c r="M1023" s="1045"/>
    </row>
    <row r="1024" spans="1:13" x14ac:dyDescent="0.2">
      <c r="A1024" s="693">
        <v>1020</v>
      </c>
      <c r="B1024" s="749" t="str">
        <f t="shared" si="16"/>
        <v>Flat-rolled products of stainless steel, of a width of &lt; 600 mm, not further worked than cold-rolled "cold-reduced", of a thickness of &gt; 0,35 mm but &lt; 3 mm, and containing by weight &lt; 2,5% nickel</v>
      </c>
      <c r="C1024" s="749" t="s">
        <v>2219</v>
      </c>
      <c r="D1024" s="1045"/>
      <c r="E1024" s="1045"/>
      <c r="F1024" s="1045"/>
      <c r="G1024" s="1045"/>
      <c r="H1024" s="1045"/>
      <c r="I1024" s="1045"/>
      <c r="J1024" s="1045"/>
      <c r="K1024" s="1045"/>
      <c r="L1024" s="1045"/>
      <c r="M1024" s="1045"/>
    </row>
    <row r="1025" spans="1:13" x14ac:dyDescent="0.2">
      <c r="A1025" s="693">
        <v>1021</v>
      </c>
      <c r="B1025" s="749" t="str">
        <f t="shared" si="16"/>
        <v>Flat-rolled products of stainless steel, of a width of &lt; 600 mm, not further worked than cold-rolled "cold-reduced", of a thickness of &lt;= 0,35 mm and containing by weight &gt;= 2,5% nickel</v>
      </c>
      <c r="C1025" s="749" t="s">
        <v>2221</v>
      </c>
      <c r="D1025" s="1045"/>
      <c r="E1025" s="1045"/>
      <c r="F1025" s="1045"/>
      <c r="G1025" s="1045"/>
      <c r="H1025" s="1045"/>
      <c r="I1025" s="1045"/>
      <c r="J1025" s="1045"/>
      <c r="K1025" s="1045"/>
      <c r="L1025" s="1045"/>
      <c r="M1025" s="1045"/>
    </row>
    <row r="1026" spans="1:13" x14ac:dyDescent="0.2">
      <c r="A1026" s="693">
        <v>1022</v>
      </c>
      <c r="B1026" s="749" t="str">
        <f t="shared" si="16"/>
        <v>Flat-rolled products of stainless steel, of a width of &lt; 600 mm, not further worked than cold-rolled "cold-reduced", of a thickness of &lt;= 0,35 mm and containing by weight &lt; 2,5% nickel</v>
      </c>
      <c r="C1026" s="749" t="s">
        <v>2223</v>
      </c>
      <c r="D1026" s="1045"/>
      <c r="E1026" s="1045"/>
      <c r="F1026" s="1045"/>
      <c r="G1026" s="1045"/>
      <c r="H1026" s="1045"/>
      <c r="I1026" s="1045"/>
      <c r="J1026" s="1045"/>
      <c r="K1026" s="1045"/>
      <c r="L1026" s="1045"/>
      <c r="M1026" s="1045"/>
    </row>
    <row r="1027" spans="1:13" x14ac:dyDescent="0.2">
      <c r="A1027" s="693">
        <v>1023</v>
      </c>
      <c r="B1027" s="749" t="str">
        <f t="shared" si="16"/>
        <v>Flat-rolled products of stainless steel, of a width of &lt; 600 mm, hot-rolled or cold-rolled "cold-reduced" and further worked</v>
      </c>
      <c r="C1027" s="749" t="s">
        <v>2225</v>
      </c>
      <c r="D1027" s="1045"/>
      <c r="E1027" s="1045"/>
      <c r="F1027" s="1045"/>
      <c r="G1027" s="1045"/>
      <c r="H1027" s="1045"/>
      <c r="I1027" s="1045"/>
      <c r="J1027" s="1045"/>
      <c r="K1027" s="1045"/>
      <c r="L1027" s="1045"/>
      <c r="M1027" s="1045"/>
    </row>
    <row r="1028" spans="1:13" x14ac:dyDescent="0.2">
      <c r="A1028" s="693">
        <v>1024</v>
      </c>
      <c r="B1028" s="749" t="str">
        <f t="shared" si="16"/>
        <v>Flat-rolled products of stainless steel, of a width of &lt; 600 mm, hot-rolled or cold-rolled "cold-reduced" and further worked, perforated</v>
      </c>
      <c r="C1028" s="749" t="s">
        <v>2227</v>
      </c>
      <c r="D1028" s="1045"/>
      <c r="E1028" s="1045"/>
      <c r="F1028" s="1045"/>
      <c r="G1028" s="1045"/>
      <c r="H1028" s="1045"/>
      <c r="I1028" s="1045"/>
      <c r="J1028" s="1045"/>
      <c r="K1028" s="1045"/>
      <c r="L1028" s="1045"/>
      <c r="M1028" s="1045"/>
    </row>
    <row r="1029" spans="1:13" x14ac:dyDescent="0.2">
      <c r="A1029" s="693">
        <v>1025</v>
      </c>
      <c r="B1029" s="749" t="str">
        <f t="shared" si="16"/>
        <v>Flat-rolled products of stainless steel, of a width of &lt; 600 mm, hot-rolled or cold-rolled "cold-reduced" and further worked, non-perforated</v>
      </c>
      <c r="C1029" s="749" t="s">
        <v>2229</v>
      </c>
      <c r="D1029" s="1045"/>
      <c r="E1029" s="1045"/>
      <c r="F1029" s="1045"/>
      <c r="G1029" s="1045"/>
      <c r="H1029" s="1045"/>
      <c r="I1029" s="1045"/>
      <c r="J1029" s="1045"/>
      <c r="K1029" s="1045"/>
      <c r="L1029" s="1045"/>
      <c r="M1029" s="1045"/>
    </row>
    <row r="1030" spans="1:13" x14ac:dyDescent="0.2">
      <c r="A1030" s="693">
        <v>1026</v>
      </c>
      <c r="B1030" s="749" t="str">
        <f t="shared" si="16"/>
        <v>Bars and rods of stainless steel, hot-rolled, in irregularly wound coils</v>
      </c>
      <c r="C1030" s="749" t="s">
        <v>2231</v>
      </c>
      <c r="D1030" s="1045"/>
      <c r="E1030" s="1045"/>
      <c r="F1030" s="1045"/>
      <c r="G1030" s="1045"/>
      <c r="H1030" s="1045"/>
      <c r="I1030" s="1045"/>
      <c r="J1030" s="1045"/>
      <c r="K1030" s="1045"/>
      <c r="L1030" s="1045"/>
      <c r="M1030" s="1045"/>
    </row>
    <row r="1031" spans="1:13" x14ac:dyDescent="0.2">
      <c r="A1031" s="693">
        <v>1027</v>
      </c>
      <c r="B1031" s="749" t="str">
        <f t="shared" si="16"/>
        <v>Bars and rods of stainless steel, hot-rolled, in irregularly wound coils, containing by weight &gt;= 2,5% nickel</v>
      </c>
      <c r="C1031" s="749" t="s">
        <v>2233</v>
      </c>
      <c r="D1031" s="1045"/>
      <c r="E1031" s="1045"/>
      <c r="F1031" s="1045"/>
      <c r="G1031" s="1045"/>
      <c r="H1031" s="1045"/>
      <c r="I1031" s="1045"/>
      <c r="J1031" s="1045"/>
      <c r="K1031" s="1045"/>
      <c r="L1031" s="1045"/>
      <c r="M1031" s="1045"/>
    </row>
    <row r="1032" spans="1:13" x14ac:dyDescent="0.2">
      <c r="A1032" s="693">
        <v>1028</v>
      </c>
      <c r="B1032" s="749" t="str">
        <f t="shared" si="16"/>
        <v>Bars and rods of stainless steel, hot-rolled, in irregularly wound coils, containing by weight &lt; 2,5% nickel</v>
      </c>
      <c r="C1032" s="749" t="s">
        <v>2235</v>
      </c>
      <c r="D1032" s="1045"/>
      <c r="E1032" s="1045"/>
      <c r="F1032" s="1045"/>
      <c r="G1032" s="1045"/>
      <c r="H1032" s="1045"/>
      <c r="I1032" s="1045"/>
      <c r="J1032" s="1045"/>
      <c r="K1032" s="1045"/>
      <c r="L1032" s="1045"/>
      <c r="M1032" s="1045"/>
    </row>
    <row r="1033" spans="1:13" x14ac:dyDescent="0.2">
      <c r="A1033" s="693">
        <v>1029</v>
      </c>
      <c r="B1033" s="749" t="str">
        <f t="shared" si="16"/>
        <v>Other bars and rods of stainless steel; angles, shapes and sections of stainless steel, n.e.s.</v>
      </c>
      <c r="C1033" s="749" t="s">
        <v>2237</v>
      </c>
      <c r="D1033" s="1045"/>
      <c r="E1033" s="1045"/>
      <c r="F1033" s="1045"/>
      <c r="G1033" s="1045"/>
      <c r="H1033" s="1045"/>
      <c r="I1033" s="1045"/>
      <c r="J1033" s="1045"/>
      <c r="K1033" s="1045"/>
      <c r="L1033" s="1045"/>
      <c r="M1033" s="1045"/>
    </row>
    <row r="1034" spans="1:13" x14ac:dyDescent="0.2">
      <c r="A1034" s="693">
        <v>1030</v>
      </c>
      <c r="B1034" s="749" t="str">
        <f t="shared" si="16"/>
        <v>Bars and rods of stainless steel, only hot-rolled, only hot-drawn or only hot-extruded, of circular cross-section</v>
      </c>
      <c r="C1034" s="749" t="s">
        <v>2239</v>
      </c>
      <c r="D1034" s="1045"/>
      <c r="E1034" s="1045"/>
      <c r="F1034" s="1045"/>
      <c r="G1034" s="1045"/>
      <c r="H1034" s="1045"/>
      <c r="I1034" s="1045"/>
      <c r="J1034" s="1045"/>
      <c r="K1034" s="1045"/>
      <c r="L1034" s="1045"/>
      <c r="M1034" s="1045"/>
    </row>
    <row r="1035" spans="1:13" x14ac:dyDescent="0.2">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2241</v>
      </c>
      <c r="D1035" s="1045"/>
      <c r="E1035" s="1045"/>
      <c r="F1035" s="1045"/>
      <c r="G1035" s="1045"/>
      <c r="H1035" s="1045"/>
      <c r="I1035" s="1045"/>
      <c r="J1035" s="1045"/>
      <c r="K1035" s="1045"/>
      <c r="L1035" s="1045"/>
      <c r="M1035" s="1045"/>
    </row>
    <row r="1036" spans="1:13" x14ac:dyDescent="0.2">
      <c r="A1036" s="693">
        <v>1032</v>
      </c>
      <c r="B1036" s="749" t="str">
        <f t="shared" si="17"/>
        <v>Bars and rods of stainless steel, not further worked than hot-rolled, hot-drawn or extruded, of circular cross-section of a diameter of &gt;= 800 mm, containing by weight &lt; 2,5% nickel</v>
      </c>
      <c r="C1036" s="749" t="s">
        <v>2243</v>
      </c>
      <c r="D1036" s="1045"/>
      <c r="E1036" s="1045"/>
      <c r="F1036" s="1045"/>
      <c r="G1036" s="1045"/>
      <c r="H1036" s="1045"/>
      <c r="I1036" s="1045"/>
      <c r="J1036" s="1045"/>
      <c r="K1036" s="1045"/>
      <c r="L1036" s="1045"/>
      <c r="M1036" s="1045"/>
    </row>
    <row r="1037" spans="1:13" x14ac:dyDescent="0.2">
      <c r="A1037" s="693">
        <v>1033</v>
      </c>
      <c r="B1037" s="749" t="str">
        <f t="shared" si="17"/>
        <v>Bars and rods of stainless steel, not further worked than hot-rolled, hot-drawn or extruded, of circular cross-section measuring &lt; 80 mm and containing by weight &gt;= 2,5% nickel</v>
      </c>
      <c r="C1037" s="749" t="s">
        <v>2245</v>
      </c>
      <c r="D1037" s="1045"/>
      <c r="E1037" s="1045"/>
      <c r="F1037" s="1045"/>
      <c r="G1037" s="1045"/>
      <c r="H1037" s="1045"/>
      <c r="I1037" s="1045"/>
      <c r="J1037" s="1045"/>
      <c r="K1037" s="1045"/>
      <c r="L1037" s="1045"/>
      <c r="M1037" s="1045"/>
    </row>
    <row r="1038" spans="1:13" x14ac:dyDescent="0.2">
      <c r="A1038" s="693">
        <v>1034</v>
      </c>
      <c r="B1038" s="749" t="str">
        <f t="shared" si="17"/>
        <v>Bars and rods of stainless steel, not further worked than hot-rolled, hot-drawn or extruded, of circular cross-section measuring &lt; 80 mm and containing by weight &lt; 2,5% nickel</v>
      </c>
      <c r="C1038" s="749" t="s">
        <v>2247</v>
      </c>
      <c r="D1038" s="1045"/>
      <c r="E1038" s="1045"/>
      <c r="F1038" s="1045"/>
      <c r="G1038" s="1045"/>
      <c r="H1038" s="1045"/>
      <c r="I1038" s="1045"/>
      <c r="J1038" s="1045"/>
      <c r="K1038" s="1045"/>
      <c r="L1038" s="1045"/>
      <c r="M1038" s="1045"/>
    </row>
    <row r="1039" spans="1:13" x14ac:dyDescent="0.2">
      <c r="A1039" s="693">
        <v>1035</v>
      </c>
      <c r="B1039" s="749" t="str">
        <f t="shared" si="17"/>
        <v>Bars and rods of stainless steel, only hot-rolled, only hot-drawn or only extruded (excl. of circular cross-section)</v>
      </c>
      <c r="C1039" s="749" t="s">
        <v>2249</v>
      </c>
      <c r="D1039" s="1045"/>
      <c r="E1039" s="1045"/>
      <c r="F1039" s="1045"/>
      <c r="G1039" s="1045"/>
      <c r="H1039" s="1045"/>
      <c r="I1039" s="1045"/>
      <c r="J1039" s="1045"/>
      <c r="K1039" s="1045"/>
      <c r="L1039" s="1045"/>
      <c r="M1039" s="1045"/>
    </row>
    <row r="1040" spans="1:13" x14ac:dyDescent="0.2">
      <c r="A1040" s="693">
        <v>1036</v>
      </c>
      <c r="B1040" s="749" t="str">
        <f t="shared" si="17"/>
        <v>Bars and rods of stainless steel, not further worked than hot-rolled, hot-drawn or extruded, containing by weight &gt;= 2,5% nickel (excl. such products of circular cross-section)</v>
      </c>
      <c r="C1040" s="749" t="s">
        <v>2251</v>
      </c>
      <c r="D1040" s="1045"/>
      <c r="E1040" s="1045"/>
      <c r="F1040" s="1045"/>
      <c r="G1040" s="1045"/>
      <c r="H1040" s="1045"/>
      <c r="I1040" s="1045"/>
      <c r="J1040" s="1045"/>
      <c r="K1040" s="1045"/>
      <c r="L1040" s="1045"/>
      <c r="M1040" s="1045"/>
    </row>
    <row r="1041" spans="1:13" x14ac:dyDescent="0.2">
      <c r="A1041" s="693">
        <v>1037</v>
      </c>
      <c r="B1041" s="749" t="str">
        <f t="shared" si="17"/>
        <v>Bars and rods of stainless steel, not further worked than hot-rolled, hot-drawn or extruded, containing by weight &lt; 2,5% nickel (excl. such products of circular cross-section)</v>
      </c>
      <c r="C1041" s="749" t="s">
        <v>2253</v>
      </c>
      <c r="D1041" s="1045"/>
      <c r="E1041" s="1045"/>
      <c r="F1041" s="1045"/>
      <c r="G1041" s="1045"/>
      <c r="H1041" s="1045"/>
      <c r="I1041" s="1045"/>
      <c r="J1041" s="1045"/>
      <c r="K1041" s="1045"/>
      <c r="L1041" s="1045"/>
      <c r="M1041" s="1045"/>
    </row>
    <row r="1042" spans="1:13" x14ac:dyDescent="0.2">
      <c r="A1042" s="693">
        <v>1038</v>
      </c>
      <c r="B1042" s="749" t="str">
        <f t="shared" si="17"/>
        <v>Other bars and rods of stainless steel, not further worked than cold-formed or cold-finished</v>
      </c>
      <c r="C1042" s="749" t="s">
        <v>2255</v>
      </c>
      <c r="D1042" s="1045"/>
      <c r="E1042" s="1045"/>
      <c r="F1042" s="1045"/>
      <c r="G1042" s="1045"/>
      <c r="H1042" s="1045"/>
      <c r="I1042" s="1045"/>
      <c r="J1042" s="1045"/>
      <c r="K1042" s="1045"/>
      <c r="L1042" s="1045"/>
      <c r="M1042" s="1045"/>
    </row>
    <row r="1043" spans="1:13" x14ac:dyDescent="0.2">
      <c r="A1043" s="693">
        <v>1039</v>
      </c>
      <c r="B1043" s="749" t="str">
        <f t="shared" si="17"/>
        <v>Bars and rods of stainless steel, of circular cross-section of a diameter &gt;= 80 mm, simply cold-formed or cold-finished, containing by weight &gt;= 2,5% nickel</v>
      </c>
      <c r="C1043" s="749" t="s">
        <v>2257</v>
      </c>
      <c r="D1043" s="1045"/>
      <c r="E1043" s="1045"/>
      <c r="F1043" s="1045"/>
      <c r="G1043" s="1045"/>
      <c r="H1043" s="1045"/>
      <c r="I1043" s="1045"/>
      <c r="J1043" s="1045"/>
      <c r="K1043" s="1045"/>
      <c r="L1043" s="1045"/>
      <c r="M1043" s="1045"/>
    </row>
    <row r="1044" spans="1:13" x14ac:dyDescent="0.2">
      <c r="A1044" s="693">
        <v>1040</v>
      </c>
      <c r="B1044" s="749" t="str">
        <f t="shared" si="17"/>
        <v>Bars and rods of stainless steel, of circular cross-section of a diameter &gt;= 80 mm, simply cold-formed or cold-finished, containing by weight &lt; 2,5% nickel</v>
      </c>
      <c r="C1044" s="749" t="s">
        <v>2259</v>
      </c>
      <c r="D1044" s="1045"/>
      <c r="E1044" s="1045"/>
      <c r="F1044" s="1045"/>
      <c r="G1044" s="1045"/>
      <c r="H1044" s="1045"/>
      <c r="I1044" s="1045"/>
      <c r="J1044" s="1045"/>
      <c r="K1044" s="1045"/>
      <c r="L1044" s="1045"/>
      <c r="M1044" s="1045"/>
    </row>
    <row r="1045" spans="1:13" x14ac:dyDescent="0.2">
      <c r="A1045" s="693">
        <v>1041</v>
      </c>
      <c r="B1045" s="749" t="str">
        <f t="shared" si="17"/>
        <v>Bars and rods of stainless steel, not further worked than cold-formed or cold-finished, of circular cross-section measuring &gt;= 25 mm but &lt; 80 mm and containing by weight &gt;= 2,5% nickel</v>
      </c>
      <c r="C1045" s="749" t="s">
        <v>2261</v>
      </c>
      <c r="D1045" s="1045"/>
      <c r="E1045" s="1045"/>
      <c r="F1045" s="1045"/>
      <c r="G1045" s="1045"/>
      <c r="H1045" s="1045"/>
      <c r="I1045" s="1045"/>
      <c r="J1045" s="1045"/>
      <c r="K1045" s="1045"/>
      <c r="L1045" s="1045"/>
      <c r="M1045" s="1045"/>
    </row>
    <row r="1046" spans="1:13" x14ac:dyDescent="0.2">
      <c r="A1046" s="693">
        <v>1042</v>
      </c>
      <c r="B1046" s="749" t="str">
        <f t="shared" si="17"/>
        <v>Bars and rods of stainless steel, not further worked than cold-formed or cold-finished, of circular cross-section measuring &gt;= 25 mm but &lt; 80 mm and containing by weight &lt; 2,5% nickel</v>
      </c>
      <c r="C1046" s="749" t="s">
        <v>2263</v>
      </c>
      <c r="D1046" s="1045"/>
      <c r="E1046" s="1045"/>
      <c r="F1046" s="1045"/>
      <c r="G1046" s="1045"/>
      <c r="H1046" s="1045"/>
      <c r="I1046" s="1045"/>
      <c r="J1046" s="1045"/>
      <c r="K1046" s="1045"/>
      <c r="L1046" s="1045"/>
      <c r="M1046" s="1045"/>
    </row>
    <row r="1047" spans="1:13" x14ac:dyDescent="0.2">
      <c r="A1047" s="693">
        <v>1043</v>
      </c>
      <c r="B1047" s="749" t="str">
        <f t="shared" si="17"/>
        <v>Bars and rods of stainless steel, not further worked than cold-formed or cold-finished, of circular cross-section measuring &lt; 25 mm and containing by weight &gt;= 2,5% nickel</v>
      </c>
      <c r="C1047" s="749" t="s">
        <v>2265</v>
      </c>
      <c r="D1047" s="1045"/>
      <c r="E1047" s="1045"/>
      <c r="F1047" s="1045"/>
      <c r="G1047" s="1045"/>
      <c r="H1047" s="1045"/>
      <c r="I1047" s="1045"/>
      <c r="J1047" s="1045"/>
      <c r="K1047" s="1045"/>
      <c r="L1047" s="1045"/>
      <c r="M1047" s="1045"/>
    </row>
    <row r="1048" spans="1:13" x14ac:dyDescent="0.2">
      <c r="A1048" s="693">
        <v>1044</v>
      </c>
      <c r="B1048" s="749" t="str">
        <f t="shared" si="17"/>
        <v>Bars and rods of stainless steel, not further worked than cold-formed or cold-finished, of circular cross-section measuring &lt; 25 mm and containing by weight &lt; 2,5% nickel</v>
      </c>
      <c r="C1048" s="749" t="s">
        <v>2267</v>
      </c>
      <c r="D1048" s="1045"/>
      <c r="E1048" s="1045"/>
      <c r="F1048" s="1045"/>
      <c r="G1048" s="1045"/>
      <c r="H1048" s="1045"/>
      <c r="I1048" s="1045"/>
      <c r="J1048" s="1045"/>
      <c r="K1048" s="1045"/>
      <c r="L1048" s="1045"/>
      <c r="M1048" s="1045"/>
    </row>
    <row r="1049" spans="1:13" x14ac:dyDescent="0.2">
      <c r="A1049" s="693">
        <v>1045</v>
      </c>
      <c r="B1049" s="749" t="str">
        <f t="shared" si="17"/>
        <v>Bars and rods of stainless steel, not further worked than cold-formed or cold-finished, containing by weight &gt;= 2,5% nickel (excl. such products of circular cross-section)</v>
      </c>
      <c r="C1049" s="749" t="s">
        <v>2269</v>
      </c>
      <c r="D1049" s="1045"/>
      <c r="E1049" s="1045"/>
      <c r="F1049" s="1045"/>
      <c r="G1049" s="1045"/>
      <c r="H1049" s="1045"/>
      <c r="I1049" s="1045"/>
      <c r="J1049" s="1045"/>
      <c r="K1049" s="1045"/>
      <c r="L1049" s="1045"/>
      <c r="M1049" s="1045"/>
    </row>
    <row r="1050" spans="1:13" x14ac:dyDescent="0.2">
      <c r="A1050" s="693">
        <v>1046</v>
      </c>
      <c r="B1050" s="749" t="str">
        <f t="shared" si="17"/>
        <v>Bars and rods of stainless steel, not further worked than cold-formed or cold-finished, containing by weight &lt; 2,5% nickel (excl. such products of circular cross-section)</v>
      </c>
      <c r="C1050" s="749" t="s">
        <v>2271</v>
      </c>
      <c r="D1050" s="1045"/>
      <c r="E1050" s="1045"/>
      <c r="F1050" s="1045"/>
      <c r="G1050" s="1045"/>
      <c r="H1050" s="1045"/>
      <c r="I1050" s="1045"/>
      <c r="J1050" s="1045"/>
      <c r="K1050" s="1045"/>
      <c r="L1050" s="1045"/>
      <c r="M1050" s="1045"/>
    </row>
    <row r="1051" spans="1:13" x14ac:dyDescent="0.2">
      <c r="A1051" s="693">
        <v>1047</v>
      </c>
      <c r="B1051" s="749" t="str">
        <f t="shared" si="17"/>
        <v>Other bars and rods of stainless steel, cold-formed or cold-finished and further worked, or not further worked than forged, or forged, or hot-formed by other means and further worked, n.e.s.</v>
      </c>
      <c r="C1051" s="749" t="s">
        <v>2273</v>
      </c>
      <c r="D1051" s="1045"/>
      <c r="E1051" s="1045"/>
      <c r="F1051" s="1045"/>
      <c r="G1051" s="1045"/>
      <c r="H1051" s="1045"/>
      <c r="I1051" s="1045"/>
      <c r="J1051" s="1045"/>
      <c r="K1051" s="1045"/>
      <c r="L1051" s="1045"/>
      <c r="M1051" s="1045"/>
    </row>
    <row r="1052" spans="1:13" x14ac:dyDescent="0.2">
      <c r="A1052" s="693">
        <v>1048</v>
      </c>
      <c r="B1052" s="749" t="str">
        <f t="shared" si="17"/>
        <v>Other bars and rods of stainless steel, containing by weight &gt;= 2,5% of nickel, forged</v>
      </c>
      <c r="C1052" s="749" t="s">
        <v>2275</v>
      </c>
      <c r="D1052" s="1045"/>
      <c r="E1052" s="1045"/>
      <c r="F1052" s="1045"/>
      <c r="G1052" s="1045"/>
      <c r="H1052" s="1045"/>
      <c r="I1052" s="1045"/>
      <c r="J1052" s="1045"/>
      <c r="K1052" s="1045"/>
      <c r="L1052" s="1045"/>
      <c r="M1052" s="1045"/>
    </row>
    <row r="1053" spans="1:13" x14ac:dyDescent="0.2">
      <c r="A1053" s="693">
        <v>1049</v>
      </c>
      <c r="B1053" s="749" t="str">
        <f t="shared" si="17"/>
        <v>Other bars and rods of stainless steel, containing by weight &lt; 2,5% of nickel, forged</v>
      </c>
      <c r="C1053" s="749" t="s">
        <v>2277</v>
      </c>
      <c r="D1053" s="1045"/>
      <c r="E1053" s="1045"/>
      <c r="F1053" s="1045"/>
      <c r="G1053" s="1045"/>
      <c r="H1053" s="1045"/>
      <c r="I1053" s="1045"/>
      <c r="J1053" s="1045"/>
      <c r="K1053" s="1045"/>
      <c r="L1053" s="1045"/>
      <c r="M1053" s="1045"/>
    </row>
    <row r="1054" spans="1:13" x14ac:dyDescent="0.2">
      <c r="A1054" s="693">
        <v>1050</v>
      </c>
      <c r="B1054" s="749" t="str">
        <f t="shared" si="17"/>
        <v>Bars and rods of stainless steel, cold-formed or cold-finished and further worked, or hot-formed and further worked, n.e.s. (excl. forged products)</v>
      </c>
      <c r="C1054" s="749" t="s">
        <v>2279</v>
      </c>
      <c r="D1054" s="1045"/>
      <c r="E1054" s="1045"/>
      <c r="F1054" s="1045"/>
      <c r="G1054" s="1045"/>
      <c r="H1054" s="1045"/>
      <c r="I1054" s="1045"/>
      <c r="J1054" s="1045"/>
      <c r="K1054" s="1045"/>
      <c r="L1054" s="1045"/>
      <c r="M1054" s="1045"/>
    </row>
    <row r="1055" spans="1:13" x14ac:dyDescent="0.2">
      <c r="A1055" s="693">
        <v>1051</v>
      </c>
      <c r="B1055" s="749" t="str">
        <f t="shared" si="17"/>
        <v>Angles, shapes and sections of stainless steel, n.e.s.</v>
      </c>
      <c r="C1055" s="749" t="s">
        <v>2281</v>
      </c>
      <c r="D1055" s="1045"/>
      <c r="E1055" s="1045"/>
      <c r="F1055" s="1045"/>
      <c r="G1055" s="1045"/>
      <c r="H1055" s="1045"/>
      <c r="I1055" s="1045"/>
      <c r="J1055" s="1045"/>
      <c r="K1055" s="1045"/>
      <c r="L1055" s="1045"/>
      <c r="M1055" s="1045"/>
    </row>
    <row r="1056" spans="1:13" x14ac:dyDescent="0.2">
      <c r="A1056" s="693">
        <v>1052</v>
      </c>
      <c r="B1056" s="749" t="str">
        <f t="shared" si="17"/>
        <v>Angles, shapes and sections of stainless steel, only hot-rolled, only hot-drawn or only extruded</v>
      </c>
      <c r="C1056" s="749" t="s">
        <v>2283</v>
      </c>
      <c r="D1056" s="1045"/>
      <c r="E1056" s="1045"/>
      <c r="F1056" s="1045"/>
      <c r="G1056" s="1045"/>
      <c r="H1056" s="1045"/>
      <c r="I1056" s="1045"/>
      <c r="J1056" s="1045"/>
      <c r="K1056" s="1045"/>
      <c r="L1056" s="1045"/>
      <c r="M1056" s="1045"/>
    </row>
    <row r="1057" spans="1:13" x14ac:dyDescent="0.2">
      <c r="A1057" s="693">
        <v>1053</v>
      </c>
      <c r="B1057" s="749" t="str">
        <f t="shared" si="17"/>
        <v>Angles, shapes and sections of stainless steel, not further worked than cold-formed or cold-finished</v>
      </c>
      <c r="C1057" s="749" t="s">
        <v>2285</v>
      </c>
      <c r="D1057" s="1045"/>
      <c r="E1057" s="1045"/>
      <c r="F1057" s="1045"/>
      <c r="G1057" s="1045"/>
      <c r="H1057" s="1045"/>
      <c r="I1057" s="1045"/>
      <c r="J1057" s="1045"/>
      <c r="K1057" s="1045"/>
      <c r="L1057" s="1045"/>
      <c r="M1057" s="1045"/>
    </row>
    <row r="1058" spans="1:13" x14ac:dyDescent="0.2">
      <c r="A1058" s="693">
        <v>1054</v>
      </c>
      <c r="B1058" s="749" t="str">
        <f t="shared" si="17"/>
        <v>Angles, shapes and sections of stainless steel, cold-formed or cold-finished and further worked, or not further worked than forged, or forged, or hot-formed by other means and further worked, n.e.s.</v>
      </c>
      <c r="C1058" s="749" t="s">
        <v>2287</v>
      </c>
      <c r="D1058" s="1045"/>
      <c r="E1058" s="1045"/>
      <c r="F1058" s="1045"/>
      <c r="G1058" s="1045"/>
      <c r="H1058" s="1045"/>
      <c r="I1058" s="1045"/>
      <c r="J1058" s="1045"/>
      <c r="K1058" s="1045"/>
      <c r="L1058" s="1045"/>
      <c r="M1058" s="1045"/>
    </row>
    <row r="1059" spans="1:13" x14ac:dyDescent="0.2">
      <c r="A1059" s="693">
        <v>1055</v>
      </c>
      <c r="B1059" s="749" t="str">
        <f t="shared" si="17"/>
        <v>Wire of stainless steel, in coils (excl. bars and rods)</v>
      </c>
      <c r="C1059" s="749" t="s">
        <v>2289</v>
      </c>
      <c r="D1059" s="1045"/>
      <c r="E1059" s="1045"/>
      <c r="F1059" s="1045"/>
      <c r="G1059" s="1045"/>
      <c r="H1059" s="1045"/>
      <c r="I1059" s="1045"/>
      <c r="J1059" s="1045"/>
      <c r="K1059" s="1045"/>
      <c r="L1059" s="1045"/>
      <c r="M1059" s="1045"/>
    </row>
    <row r="1060" spans="1:13" x14ac:dyDescent="0.2">
      <c r="A1060" s="693">
        <v>1056</v>
      </c>
      <c r="B1060" s="749" t="str">
        <f t="shared" si="17"/>
        <v>Wire of stainless steel, in coils, containing by weight 28% to 31% nickel and 20% to 22% chromium (excl. bars and rods)</v>
      </c>
      <c r="C1060" s="749" t="s">
        <v>2291</v>
      </c>
      <c r="D1060" s="1045"/>
      <c r="E1060" s="1045"/>
      <c r="F1060" s="1045"/>
      <c r="G1060" s="1045"/>
      <c r="H1060" s="1045"/>
      <c r="I1060" s="1045"/>
      <c r="J1060" s="1045"/>
      <c r="K1060" s="1045"/>
      <c r="L1060" s="1045"/>
      <c r="M1060" s="1045"/>
    </row>
    <row r="1061" spans="1:13" x14ac:dyDescent="0.2">
      <c r="A1061" s="693">
        <v>1057</v>
      </c>
      <c r="B1061" s="749" t="str">
        <f t="shared" si="17"/>
        <v>Wire of stainless steel, in coils, containing by weight &gt;= 2,5% nickel (excl. such products containing 28% to 31% nickel and 20% to 22% chromium, and bars and rods)</v>
      </c>
      <c r="C1061" s="749" t="s">
        <v>2293</v>
      </c>
      <c r="D1061" s="1045"/>
      <c r="E1061" s="1045"/>
      <c r="F1061" s="1045"/>
      <c r="G1061" s="1045"/>
      <c r="H1061" s="1045"/>
      <c r="I1061" s="1045"/>
      <c r="J1061" s="1045"/>
      <c r="K1061" s="1045"/>
      <c r="L1061" s="1045"/>
      <c r="M1061" s="1045"/>
    </row>
    <row r="1062" spans="1:13" x14ac:dyDescent="0.2">
      <c r="A1062" s="693">
        <v>1058</v>
      </c>
      <c r="B1062" s="749" t="str">
        <f t="shared" si="17"/>
        <v>Wire of stainless steel, in coils, containing by weight &lt; 2,5% nickel, 13% to 25% chromium and 3,5% to 6% aluminium (excl. bars and rods)</v>
      </c>
      <c r="C1062" s="749" t="s">
        <v>2295</v>
      </c>
      <c r="D1062" s="1045"/>
      <c r="E1062" s="1045"/>
      <c r="F1062" s="1045"/>
      <c r="G1062" s="1045"/>
      <c r="H1062" s="1045"/>
      <c r="I1062" s="1045"/>
      <c r="J1062" s="1045"/>
      <c r="K1062" s="1045"/>
      <c r="L1062" s="1045"/>
      <c r="M1062" s="1045"/>
    </row>
    <row r="1063" spans="1:13" x14ac:dyDescent="0.2">
      <c r="A1063" s="693">
        <v>1059</v>
      </c>
      <c r="B1063" s="749" t="str">
        <f t="shared" si="17"/>
        <v>Wire of stainless steel, in coils, containing by weight &lt; 2,5% nickel (excl. such products containing 13% to 25% chromium and 3,5% to 6% aluminium, and bars and rods)</v>
      </c>
      <c r="C1063" s="749" t="s">
        <v>2297</v>
      </c>
      <c r="D1063" s="1045"/>
      <c r="E1063" s="1045"/>
      <c r="F1063" s="1045"/>
      <c r="G1063" s="1045"/>
      <c r="H1063" s="1045"/>
      <c r="I1063" s="1045"/>
      <c r="J1063" s="1045"/>
      <c r="K1063" s="1045"/>
      <c r="L1063" s="1045"/>
      <c r="M1063" s="1045"/>
    </row>
    <row r="1064" spans="1:13" x14ac:dyDescent="0.2">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2299</v>
      </c>
      <c r="D1064" s="1045"/>
      <c r="E1064" s="1045"/>
      <c r="F1064" s="1045"/>
      <c r="G1064" s="1045"/>
      <c r="H1064" s="1045"/>
      <c r="I1064" s="1045"/>
      <c r="J1064" s="1045"/>
      <c r="K1064" s="1045"/>
      <c r="L1064" s="1045"/>
      <c r="M1064" s="1045"/>
    </row>
    <row r="1065" spans="1:13" x14ac:dyDescent="0.2">
      <c r="A1065" s="693">
        <v>1061</v>
      </c>
      <c r="B1065" s="749" t="str">
        <f t="shared" si="17"/>
        <v>Steel, alloy, other than stainless, in ingots or other primary forms (excl. waste and scrap in ingot form, and products obtained by continuous casting)</v>
      </c>
      <c r="C1065" s="749" t="s">
        <v>2301</v>
      </c>
      <c r="D1065" s="1045"/>
      <c r="E1065" s="1045"/>
      <c r="F1065" s="1045"/>
      <c r="G1065" s="1045"/>
      <c r="H1065" s="1045"/>
      <c r="I1065" s="1045"/>
      <c r="J1065" s="1045"/>
      <c r="K1065" s="1045"/>
      <c r="L1065" s="1045"/>
      <c r="M1065" s="1045"/>
    </row>
    <row r="1066" spans="1:13" x14ac:dyDescent="0.2">
      <c r="A1066" s="693">
        <v>1062</v>
      </c>
      <c r="B1066" s="749" t="str">
        <f t="shared" si="17"/>
        <v>Ingots and other primary forms, of tool steel</v>
      </c>
      <c r="C1066" s="749" t="s">
        <v>2303</v>
      </c>
      <c r="D1066" s="1045"/>
      <c r="E1066" s="1045"/>
      <c r="F1066" s="1045"/>
      <c r="G1066" s="1045"/>
      <c r="H1066" s="1045"/>
      <c r="I1066" s="1045"/>
      <c r="J1066" s="1045"/>
      <c r="K1066" s="1045"/>
      <c r="L1066" s="1045"/>
      <c r="M1066" s="1045"/>
    </row>
    <row r="1067" spans="1:13" x14ac:dyDescent="0.2">
      <c r="A1067" s="693">
        <v>1063</v>
      </c>
      <c r="B1067" s="749" t="str">
        <f t="shared" si="17"/>
        <v>Steel, alloy, other than stainless, in ingots or other primary forms (excl. of tool steel, waste and scrap in ingot form and products obtained by continuous casting)</v>
      </c>
      <c r="C1067" s="749" t="s">
        <v>2305</v>
      </c>
      <c r="D1067" s="1045"/>
      <c r="E1067" s="1045"/>
      <c r="F1067" s="1045"/>
      <c r="G1067" s="1045"/>
      <c r="H1067" s="1045"/>
      <c r="I1067" s="1045"/>
      <c r="J1067" s="1045"/>
      <c r="K1067" s="1045"/>
      <c r="L1067" s="1045"/>
      <c r="M1067" s="1045"/>
    </row>
    <row r="1068" spans="1:13" x14ac:dyDescent="0.2">
      <c r="A1068" s="693">
        <v>1064</v>
      </c>
      <c r="B1068" s="749" t="str">
        <f t="shared" si="17"/>
        <v>Semi-finished products of alloy steel other than stainless</v>
      </c>
      <c r="C1068" s="749" t="s">
        <v>2307</v>
      </c>
      <c r="D1068" s="1045"/>
      <c r="E1068" s="1045"/>
      <c r="F1068" s="1045"/>
      <c r="G1068" s="1045"/>
      <c r="H1068" s="1045"/>
      <c r="I1068" s="1045"/>
      <c r="J1068" s="1045"/>
      <c r="K1068" s="1045"/>
      <c r="L1068" s="1045"/>
      <c r="M1068" s="1045"/>
    </row>
    <row r="1069" spans="1:13" x14ac:dyDescent="0.2">
      <c r="A1069" s="693">
        <v>1065</v>
      </c>
      <c r="B1069" s="749" t="str">
        <f t="shared" si="17"/>
        <v>Semi-finished products of tool steel</v>
      </c>
      <c r="C1069" s="749" t="s">
        <v>2309</v>
      </c>
      <c r="D1069" s="1045"/>
      <c r="E1069" s="1045"/>
      <c r="F1069" s="1045"/>
      <c r="G1069" s="1045"/>
      <c r="H1069" s="1045"/>
      <c r="I1069" s="1045"/>
      <c r="J1069" s="1045"/>
      <c r="K1069" s="1045"/>
      <c r="L1069" s="1045"/>
      <c r="M1069" s="1045"/>
    </row>
    <row r="1070" spans="1:13" x14ac:dyDescent="0.2">
      <c r="A1070" s="693">
        <v>1066</v>
      </c>
      <c r="B1070" s="749" t="str">
        <f t="shared" si="17"/>
        <v>Semi-finished products of high-speed steel, of square or rectangular cross-section, hot-rolled or obtained by continuous casting the width measuring &lt; twice the thickness</v>
      </c>
      <c r="C1070" s="749" t="s">
        <v>2311</v>
      </c>
      <c r="D1070" s="1045"/>
      <c r="E1070" s="1045"/>
      <c r="F1070" s="1045"/>
      <c r="G1070" s="1045"/>
      <c r="H1070" s="1045"/>
      <c r="I1070" s="1045"/>
      <c r="J1070" s="1045"/>
      <c r="K1070" s="1045"/>
      <c r="L1070" s="1045"/>
      <c r="M1070" s="1045"/>
    </row>
    <row r="1071" spans="1:13" x14ac:dyDescent="0.2">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2313</v>
      </c>
      <c r="D1071" s="1045"/>
      <c r="E1071" s="1045"/>
      <c r="F1071" s="1045"/>
      <c r="G1071" s="1045"/>
      <c r="H1071" s="1045"/>
      <c r="I1071" s="1045"/>
      <c r="J1071" s="1045"/>
      <c r="K1071" s="1045"/>
      <c r="L1071" s="1045"/>
      <c r="M1071" s="1045"/>
    </row>
    <row r="1072" spans="1:13" x14ac:dyDescent="0.2">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2315</v>
      </c>
      <c r="D1072" s="1045"/>
      <c r="E1072" s="1045"/>
      <c r="F1072" s="1045"/>
      <c r="G1072" s="1045"/>
      <c r="H1072" s="1045"/>
      <c r="I1072" s="1045"/>
      <c r="J1072" s="1045"/>
      <c r="K1072" s="1045"/>
      <c r="L1072" s="1045"/>
      <c r="M1072" s="1045"/>
    </row>
    <row r="1073" spans="1:13" x14ac:dyDescent="0.2">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2317</v>
      </c>
      <c r="D1073" s="1045"/>
      <c r="E1073" s="1045"/>
      <c r="F1073" s="1045"/>
      <c r="G1073" s="1045"/>
      <c r="H1073" s="1045"/>
      <c r="I1073" s="1045"/>
      <c r="J1073" s="1045"/>
      <c r="K1073" s="1045"/>
      <c r="L1073" s="1045"/>
      <c r="M1073" s="1045"/>
    </row>
    <row r="1074" spans="1:13" x14ac:dyDescent="0.2">
      <c r="A1074" s="693">
        <v>1070</v>
      </c>
      <c r="B1074" s="749" t="str">
        <f t="shared" si="17"/>
        <v>Semi-finished products of alloy steel other than stainless steel, of square or rectangular cross-section, forged (excl. of tool steel)</v>
      </c>
      <c r="C1074" s="749" t="s">
        <v>2319</v>
      </c>
      <c r="D1074" s="1045"/>
      <c r="E1074" s="1045"/>
      <c r="F1074" s="1045"/>
      <c r="G1074" s="1045"/>
      <c r="H1074" s="1045"/>
      <c r="I1074" s="1045"/>
      <c r="J1074" s="1045"/>
      <c r="K1074" s="1045"/>
      <c r="L1074" s="1045"/>
      <c r="M1074" s="1045"/>
    </row>
    <row r="1075" spans="1:13" x14ac:dyDescent="0.2">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2321</v>
      </c>
      <c r="D1075" s="1045"/>
      <c r="E1075" s="1045"/>
      <c r="F1075" s="1045"/>
      <c r="G1075" s="1045"/>
      <c r="H1075" s="1045"/>
      <c r="I1075" s="1045"/>
      <c r="J1075" s="1045"/>
      <c r="K1075" s="1045"/>
      <c r="L1075" s="1045"/>
      <c r="M1075" s="1045"/>
    </row>
    <row r="1076" spans="1:13" x14ac:dyDescent="0.2">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2323</v>
      </c>
      <c r="D1076" s="1045"/>
      <c r="E1076" s="1045"/>
      <c r="F1076" s="1045"/>
      <c r="G1076" s="1045"/>
      <c r="H1076" s="1045"/>
      <c r="I1076" s="1045"/>
      <c r="J1076" s="1045"/>
      <c r="K1076" s="1045"/>
      <c r="L1076" s="1045"/>
      <c r="M1076" s="1045"/>
    </row>
    <row r="1077" spans="1:13" x14ac:dyDescent="0.2">
      <c r="A1077" s="693">
        <v>1073</v>
      </c>
      <c r="B1077" s="749" t="str">
        <f t="shared" si="17"/>
        <v>Semi-finished products of alloy steel, other than stainless steel, forged (excl. of tool steel and products of square or rectangular, circular or polygamol cross-section)</v>
      </c>
      <c r="C1077" s="749" t="s">
        <v>2325</v>
      </c>
      <c r="D1077" s="1045"/>
      <c r="E1077" s="1045"/>
      <c r="F1077" s="1045"/>
      <c r="G1077" s="1045"/>
      <c r="H1077" s="1045"/>
      <c r="I1077" s="1045"/>
      <c r="J1077" s="1045"/>
      <c r="K1077" s="1045"/>
      <c r="L1077" s="1045"/>
      <c r="M1077" s="1045"/>
    </row>
    <row r="1078" spans="1:13" x14ac:dyDescent="0.2">
      <c r="A1078" s="693">
        <v>1074</v>
      </c>
      <c r="B1078" s="749" t="str">
        <f t="shared" si="17"/>
        <v>Flat-rolled products of alloy steel other than stainless, of a width of &gt;= 600 mm, hot-rolled or cold-rolled "cold-reduced"</v>
      </c>
      <c r="C1078" s="749" t="s">
        <v>2327</v>
      </c>
      <c r="D1078" s="1045"/>
      <c r="E1078" s="1045"/>
      <c r="F1078" s="1045"/>
      <c r="G1078" s="1045"/>
      <c r="H1078" s="1045"/>
      <c r="I1078" s="1045"/>
      <c r="J1078" s="1045"/>
      <c r="K1078" s="1045"/>
      <c r="L1078" s="1045"/>
      <c r="M1078" s="1045"/>
    </row>
    <row r="1079" spans="1:13" x14ac:dyDescent="0.2">
      <c r="A1079" s="693">
        <v>1075</v>
      </c>
      <c r="B1079" s="749" t="str">
        <f t="shared" si="17"/>
        <v>Flat-rolled products of silicon-electrical steel, of a width of &gt;= 600 mm, grain-oriented</v>
      </c>
      <c r="C1079" s="749" t="s">
        <v>2329</v>
      </c>
      <c r="D1079" s="1045"/>
      <c r="E1079" s="1045"/>
      <c r="F1079" s="1045"/>
      <c r="G1079" s="1045"/>
      <c r="H1079" s="1045"/>
      <c r="I1079" s="1045"/>
      <c r="J1079" s="1045"/>
      <c r="K1079" s="1045"/>
      <c r="L1079" s="1045"/>
      <c r="M1079" s="1045"/>
    </row>
    <row r="1080" spans="1:13" x14ac:dyDescent="0.2">
      <c r="A1080" s="693">
        <v>1076</v>
      </c>
      <c r="B1080" s="749" t="str">
        <f t="shared" si="17"/>
        <v>Flat-rolled products of silicon-electrical steel, of a width of &gt;= 600 mm, non-grain-oriented</v>
      </c>
      <c r="C1080" s="749" t="s">
        <v>2331</v>
      </c>
      <c r="D1080" s="1045"/>
      <c r="E1080" s="1045"/>
      <c r="F1080" s="1045"/>
      <c r="G1080" s="1045"/>
      <c r="H1080" s="1045"/>
      <c r="I1080" s="1045"/>
      <c r="J1080" s="1045"/>
      <c r="K1080" s="1045"/>
      <c r="L1080" s="1045"/>
      <c r="M1080" s="1045"/>
    </row>
    <row r="1081" spans="1:13" x14ac:dyDescent="0.2">
      <c r="A1081" s="693">
        <v>1077</v>
      </c>
      <c r="B1081" s="749" t="str">
        <f t="shared" si="17"/>
        <v>Flat-rolled products of silicon-electrical steel, of a width of &gt;= 600 mm, hot-rolled</v>
      </c>
      <c r="C1081" s="749" t="s">
        <v>2333</v>
      </c>
      <c r="D1081" s="1045"/>
      <c r="E1081" s="1045"/>
      <c r="F1081" s="1045"/>
      <c r="G1081" s="1045"/>
      <c r="H1081" s="1045"/>
      <c r="I1081" s="1045"/>
      <c r="J1081" s="1045"/>
      <c r="K1081" s="1045"/>
      <c r="L1081" s="1045"/>
      <c r="M1081" s="1045"/>
    </row>
    <row r="1082" spans="1:13" x14ac:dyDescent="0.2">
      <c r="A1082" s="693">
        <v>1078</v>
      </c>
      <c r="B1082" s="749" t="str">
        <f t="shared" si="17"/>
        <v>Flat-rolled products of silicon-electrical steel, of a width of &gt;= 600 mm, cold-rolled "cold-reduced", non-grain-oriented</v>
      </c>
      <c r="C1082" s="749" t="s">
        <v>2335</v>
      </c>
      <c r="D1082" s="1045"/>
      <c r="E1082" s="1045"/>
      <c r="F1082" s="1045"/>
      <c r="G1082" s="1045"/>
      <c r="H1082" s="1045"/>
      <c r="I1082" s="1045"/>
      <c r="J1082" s="1045"/>
      <c r="K1082" s="1045"/>
      <c r="L1082" s="1045"/>
      <c r="M1082" s="1045"/>
    </row>
    <row r="1083" spans="1:13" x14ac:dyDescent="0.2">
      <c r="A1083" s="693">
        <v>1079</v>
      </c>
      <c r="B1083" s="749" t="str">
        <f t="shared" si="17"/>
        <v>Flat-rolled products of alloy steel other than stainless, of a width of &gt;= 600 mm, not further worked than hot-rolled, in coils (excl. products of silicon-electrical steel)</v>
      </c>
      <c r="C1083" s="749" t="s">
        <v>2337</v>
      </c>
      <c r="D1083" s="1045"/>
      <c r="E1083" s="1045"/>
      <c r="F1083" s="1045"/>
      <c r="G1083" s="1045"/>
      <c r="H1083" s="1045"/>
      <c r="I1083" s="1045"/>
      <c r="J1083" s="1045"/>
      <c r="K1083" s="1045"/>
      <c r="L1083" s="1045"/>
      <c r="M1083" s="1045"/>
    </row>
    <row r="1084" spans="1:13" x14ac:dyDescent="0.2">
      <c r="A1084" s="693">
        <v>1080</v>
      </c>
      <c r="B1084" s="749" t="str">
        <f t="shared" si="17"/>
        <v>Flat-rolled products of tool steel, of a width of &gt;= 600 mm, not further worked than hot-rolled, in coils</v>
      </c>
      <c r="C1084" s="749" t="s">
        <v>2339</v>
      </c>
      <c r="D1084" s="1045"/>
      <c r="E1084" s="1045"/>
      <c r="F1084" s="1045"/>
      <c r="G1084" s="1045"/>
      <c r="H1084" s="1045"/>
      <c r="I1084" s="1045"/>
      <c r="J1084" s="1045"/>
      <c r="K1084" s="1045"/>
      <c r="L1084" s="1045"/>
      <c r="M1084" s="1045"/>
    </row>
    <row r="1085" spans="1:13" x14ac:dyDescent="0.2">
      <c r="A1085" s="693">
        <v>1081</v>
      </c>
      <c r="B1085" s="749" t="str">
        <f t="shared" si="17"/>
        <v>Flat-rolled products of high-speed steel, of a width of &gt;= 600 mm, not further worked than hot-rolled, in coils</v>
      </c>
      <c r="C1085" s="749" t="s">
        <v>2341</v>
      </c>
      <c r="D1085" s="1045"/>
      <c r="E1085" s="1045"/>
      <c r="F1085" s="1045"/>
      <c r="G1085" s="1045"/>
      <c r="H1085" s="1045"/>
      <c r="I1085" s="1045"/>
      <c r="J1085" s="1045"/>
      <c r="K1085" s="1045"/>
      <c r="L1085" s="1045"/>
      <c r="M1085" s="1045"/>
    </row>
    <row r="1086" spans="1:13" x14ac:dyDescent="0.2">
      <c r="A1086" s="693">
        <v>1082</v>
      </c>
      <c r="B1086" s="749" t="str">
        <f t="shared" si="17"/>
        <v>Flat-rolled products of alloy steel other than stainless, of a width of &gt;= 600 mm, not further worked than hot-rolled, in coils (excl. products of tool steel, high-speed steel or silicon-electrical steel)</v>
      </c>
      <c r="C1086" s="749" t="s">
        <v>2343</v>
      </c>
      <c r="D1086" s="1045"/>
      <c r="E1086" s="1045"/>
      <c r="F1086" s="1045"/>
      <c r="G1086" s="1045"/>
      <c r="H1086" s="1045"/>
      <c r="I1086" s="1045"/>
      <c r="J1086" s="1045"/>
      <c r="K1086" s="1045"/>
      <c r="L1086" s="1045"/>
      <c r="M1086" s="1045"/>
    </row>
    <row r="1087" spans="1:13" x14ac:dyDescent="0.2">
      <c r="A1087" s="693">
        <v>1083</v>
      </c>
      <c r="B1087" s="749" t="str">
        <f t="shared" si="17"/>
        <v>Flat-rolled products of alloy steel other than stainless, of a width of &gt;= 600 mm, not further worked than hot-rolled, not in coils (excl. products of silicon-electrical steel)</v>
      </c>
      <c r="C1087" s="749" t="s">
        <v>2345</v>
      </c>
      <c r="D1087" s="1045"/>
      <c r="E1087" s="1045"/>
      <c r="F1087" s="1045"/>
      <c r="G1087" s="1045"/>
      <c r="H1087" s="1045"/>
      <c r="I1087" s="1045"/>
      <c r="J1087" s="1045"/>
      <c r="K1087" s="1045"/>
      <c r="L1087" s="1045"/>
      <c r="M1087" s="1045"/>
    </row>
    <row r="1088" spans="1:13" x14ac:dyDescent="0.2">
      <c r="A1088" s="693">
        <v>1084</v>
      </c>
      <c r="B1088" s="749" t="str">
        <f t="shared" si="17"/>
        <v>Flat-rolled products of tool steel, of a width of &gt;= 600 mm, not further worked than hot-rolled, not in coils</v>
      </c>
      <c r="C1088" s="749" t="s">
        <v>2347</v>
      </c>
      <c r="D1088" s="1045"/>
      <c r="E1088" s="1045"/>
      <c r="F1088" s="1045"/>
      <c r="G1088" s="1045"/>
      <c r="H1088" s="1045"/>
      <c r="I1088" s="1045"/>
      <c r="J1088" s="1045"/>
      <c r="K1088" s="1045"/>
      <c r="L1088" s="1045"/>
      <c r="M1088" s="1045"/>
    </row>
    <row r="1089" spans="1:13" x14ac:dyDescent="0.2">
      <c r="A1089" s="693">
        <v>1085</v>
      </c>
      <c r="B1089" s="749" t="str">
        <f t="shared" si="17"/>
        <v>Flat-rolled products of high-speed steel, of a width of &gt;= 600 mm, not further worked than hot-rolled, not in coils</v>
      </c>
      <c r="C1089" s="749" t="s">
        <v>2349</v>
      </c>
      <c r="D1089" s="1045"/>
      <c r="E1089" s="1045"/>
      <c r="F1089" s="1045"/>
      <c r="G1089" s="1045"/>
      <c r="H1089" s="1045"/>
      <c r="I1089" s="1045"/>
      <c r="J1089" s="1045"/>
      <c r="K1089" s="1045"/>
      <c r="L1089" s="1045"/>
      <c r="M1089" s="1045"/>
    </row>
    <row r="1090" spans="1:13" x14ac:dyDescent="0.2">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2351</v>
      </c>
      <c r="D1090" s="1045"/>
      <c r="E1090" s="1045"/>
      <c r="F1090" s="1045"/>
      <c r="G1090" s="1045"/>
      <c r="H1090" s="1045"/>
      <c r="I1090" s="1045"/>
      <c r="J1090" s="1045"/>
      <c r="K1090" s="1045"/>
      <c r="L1090" s="1045"/>
      <c r="M1090" s="1045"/>
    </row>
    <row r="1091" spans="1:13" x14ac:dyDescent="0.2">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2353</v>
      </c>
      <c r="D1091" s="1045"/>
      <c r="E1091" s="1045"/>
      <c r="F1091" s="1045"/>
      <c r="G1091" s="1045"/>
      <c r="H1091" s="1045"/>
      <c r="I1091" s="1045"/>
      <c r="J1091" s="1045"/>
      <c r="K1091" s="1045"/>
      <c r="L1091" s="1045"/>
      <c r="M1091" s="1045"/>
    </row>
    <row r="1092" spans="1:13" x14ac:dyDescent="0.2">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2355</v>
      </c>
      <c r="D1092" s="1045"/>
      <c r="E1092" s="1045"/>
      <c r="F1092" s="1045"/>
      <c r="G1092" s="1045"/>
      <c r="H1092" s="1045"/>
      <c r="I1092" s="1045"/>
      <c r="J1092" s="1045"/>
      <c r="K1092" s="1045"/>
      <c r="L1092" s="1045"/>
      <c r="M1092" s="1045"/>
    </row>
    <row r="1093" spans="1:13" x14ac:dyDescent="0.2">
      <c r="A1093" s="693">
        <v>1089</v>
      </c>
      <c r="B1093" s="749" t="str">
        <f t="shared" si="17"/>
        <v>Flat-rolled products of alloy steel other than stainless, of a width of &gt;= 600 mm, not further worked than cold-rolled "cold-reduced" (excl. products of silicon-electrical steel)</v>
      </c>
      <c r="C1093" s="749" t="s">
        <v>2357</v>
      </c>
      <c r="D1093" s="1045"/>
      <c r="E1093" s="1045"/>
      <c r="F1093" s="1045"/>
      <c r="G1093" s="1045"/>
      <c r="H1093" s="1045"/>
      <c r="I1093" s="1045"/>
      <c r="J1093" s="1045"/>
      <c r="K1093" s="1045"/>
      <c r="L1093" s="1045"/>
      <c r="M1093" s="1045"/>
    </row>
    <row r="1094" spans="1:13" x14ac:dyDescent="0.2">
      <c r="A1094" s="693">
        <v>1090</v>
      </c>
      <c r="B1094" s="749" t="str">
        <f t="shared" si="17"/>
        <v>Flat-rolled products of high-speed steel, of a width of &gt;= 600 mm, not further worked than cold-rolled "cold-reduced"</v>
      </c>
      <c r="C1094" s="749" t="s">
        <v>2359</v>
      </c>
      <c r="D1094" s="1045"/>
      <c r="E1094" s="1045"/>
      <c r="F1094" s="1045"/>
      <c r="G1094" s="1045"/>
      <c r="H1094" s="1045"/>
      <c r="I1094" s="1045"/>
      <c r="J1094" s="1045"/>
      <c r="K1094" s="1045"/>
      <c r="L1094" s="1045"/>
      <c r="M1094" s="1045"/>
    </row>
    <row r="1095" spans="1:13" x14ac:dyDescent="0.2">
      <c r="A1095" s="693">
        <v>1091</v>
      </c>
      <c r="B1095" s="749" t="str">
        <f t="shared" si="17"/>
        <v>Flat-rolled products of alloy steel other than stainless, of a width of &gt;= 600 mm, not further worked than cold-rolled "cold-reduced" (excl. products of high-speed steel or silicon-electrical steel)</v>
      </c>
      <c r="C1095" s="749" t="s">
        <v>2361</v>
      </c>
      <c r="D1095" s="1045"/>
      <c r="E1095" s="1045"/>
      <c r="F1095" s="1045"/>
      <c r="G1095" s="1045"/>
      <c r="H1095" s="1045"/>
      <c r="I1095" s="1045"/>
      <c r="J1095" s="1045"/>
      <c r="K1095" s="1045"/>
      <c r="L1095" s="1045"/>
      <c r="M1095" s="1045"/>
    </row>
    <row r="1096" spans="1:13" x14ac:dyDescent="0.2">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2363</v>
      </c>
      <c r="D1096" s="1045"/>
      <c r="E1096" s="1045"/>
      <c r="F1096" s="1045"/>
      <c r="G1096" s="1045"/>
      <c r="H1096" s="1045"/>
      <c r="I1096" s="1045"/>
      <c r="J1096" s="1045"/>
      <c r="K1096" s="1045"/>
      <c r="L1096" s="1045"/>
      <c r="M1096" s="1045"/>
    </row>
    <row r="1097" spans="1:13" x14ac:dyDescent="0.2">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2365</v>
      </c>
      <c r="D1097" s="1045"/>
      <c r="E1097" s="1045"/>
      <c r="F1097" s="1045"/>
      <c r="G1097" s="1045"/>
      <c r="H1097" s="1045"/>
      <c r="I1097" s="1045"/>
      <c r="J1097" s="1045"/>
      <c r="K1097" s="1045"/>
      <c r="L1097" s="1045"/>
      <c r="M1097" s="1045"/>
    </row>
    <row r="1098" spans="1:13" x14ac:dyDescent="0.2">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2367</v>
      </c>
      <c r="D1098" s="1045"/>
      <c r="E1098" s="1045"/>
      <c r="F1098" s="1045"/>
      <c r="G1098" s="1045"/>
      <c r="H1098" s="1045"/>
      <c r="I1098" s="1045"/>
      <c r="J1098" s="1045"/>
      <c r="K1098" s="1045"/>
      <c r="L1098" s="1045"/>
      <c r="M1098" s="1045"/>
    </row>
    <row r="1099" spans="1:13" x14ac:dyDescent="0.2">
      <c r="A1099" s="693">
        <v>1095</v>
      </c>
      <c r="B1099" s="749" t="str">
        <f t="shared" ref="B1099:B1162" si="18">IFERROR(INDEX(C1099:M1099,$A$4-2),$C1099)</f>
        <v>Flat-rolled products of alloy steel other than stainless, of a width of &lt; 600 mm, hot-rolled or cold-rolled "cold-reduced"</v>
      </c>
      <c r="C1099" s="749" t="s">
        <v>2369</v>
      </c>
      <c r="D1099" s="1045"/>
      <c r="E1099" s="1045"/>
      <c r="F1099" s="1045"/>
      <c r="G1099" s="1045"/>
      <c r="H1099" s="1045"/>
      <c r="I1099" s="1045"/>
      <c r="J1099" s="1045"/>
      <c r="K1099" s="1045"/>
      <c r="L1099" s="1045"/>
      <c r="M1099" s="1045"/>
    </row>
    <row r="1100" spans="1:13" x14ac:dyDescent="0.2">
      <c r="A1100" s="693">
        <v>1096</v>
      </c>
      <c r="B1100" s="749" t="str">
        <f t="shared" si="18"/>
        <v>Flat-rolled products of silicon-electrical steel, of a width of &lt; 600 mm, hot-rolled or cold-rolled "cold-reduced", grain-oriented</v>
      </c>
      <c r="C1100" s="749" t="s">
        <v>2371</v>
      </c>
      <c r="D1100" s="1045"/>
      <c r="E1100" s="1045"/>
      <c r="F1100" s="1045"/>
      <c r="G1100" s="1045"/>
      <c r="H1100" s="1045"/>
      <c r="I1100" s="1045"/>
      <c r="J1100" s="1045"/>
      <c r="K1100" s="1045"/>
      <c r="L1100" s="1045"/>
      <c r="M1100" s="1045"/>
    </row>
    <row r="1101" spans="1:13" x14ac:dyDescent="0.2">
      <c r="A1101" s="693">
        <v>1097</v>
      </c>
      <c r="B1101" s="749" t="str">
        <f t="shared" si="18"/>
        <v>Flat-rolled products of silicon-electrical steel, of a width of &lt; 600 mm, hot-rolled or cold-rolled "cold-reduced", not grain-oriented</v>
      </c>
      <c r="C1101" s="749" t="s">
        <v>2373</v>
      </c>
      <c r="D1101" s="1045"/>
      <c r="E1101" s="1045"/>
      <c r="F1101" s="1045"/>
      <c r="G1101" s="1045"/>
      <c r="H1101" s="1045"/>
      <c r="I1101" s="1045"/>
      <c r="J1101" s="1045"/>
      <c r="K1101" s="1045"/>
      <c r="L1101" s="1045"/>
      <c r="M1101" s="1045"/>
    </row>
    <row r="1102" spans="1:13" x14ac:dyDescent="0.2">
      <c r="A1102" s="693">
        <v>1098</v>
      </c>
      <c r="B1102" s="749" t="str">
        <f t="shared" si="18"/>
        <v>Flat-rolled products of silicon-electrical steel, of a width of &lt; 600 mm, not further worked than hot-rolled</v>
      </c>
      <c r="C1102" s="749" t="s">
        <v>2375</v>
      </c>
      <c r="D1102" s="1045"/>
      <c r="E1102" s="1045"/>
      <c r="F1102" s="1045"/>
      <c r="G1102" s="1045"/>
      <c r="H1102" s="1045"/>
      <c r="I1102" s="1045"/>
      <c r="J1102" s="1045"/>
      <c r="K1102" s="1045"/>
      <c r="L1102" s="1045"/>
      <c r="M1102" s="1045"/>
    </row>
    <row r="1103" spans="1:13" x14ac:dyDescent="0.2">
      <c r="A1103" s="693">
        <v>1099</v>
      </c>
      <c r="B1103" s="749" t="str">
        <f t="shared" si="18"/>
        <v>Flat-rolled products of silicon-electrical steel, of a width of &lt; 600 mm, cold-rolled "cold-reduced", whether or not further worked, or hot-rolled and further worked, non-grain-oriented</v>
      </c>
      <c r="C1103" s="749" t="s">
        <v>2377</v>
      </c>
      <c r="D1103" s="1045"/>
      <c r="E1103" s="1045"/>
      <c r="F1103" s="1045"/>
      <c r="G1103" s="1045"/>
      <c r="H1103" s="1045"/>
      <c r="I1103" s="1045"/>
      <c r="J1103" s="1045"/>
      <c r="K1103" s="1045"/>
      <c r="L1103" s="1045"/>
      <c r="M1103" s="1045"/>
    </row>
    <row r="1104" spans="1:13" x14ac:dyDescent="0.2">
      <c r="A1104" s="693">
        <v>1100</v>
      </c>
      <c r="B1104" s="749" t="str">
        <f t="shared" si="18"/>
        <v>Flat-rolled products of high-speed steel, of a width of &lt;= 600 mm, hot-rolled or cold-rolled "cold-reduced"</v>
      </c>
      <c r="C1104" s="749" t="s">
        <v>2379</v>
      </c>
      <c r="D1104" s="1045"/>
      <c r="E1104" s="1045"/>
      <c r="F1104" s="1045"/>
      <c r="G1104" s="1045"/>
      <c r="H1104" s="1045"/>
      <c r="I1104" s="1045"/>
      <c r="J1104" s="1045"/>
      <c r="K1104" s="1045"/>
      <c r="L1104" s="1045"/>
      <c r="M1104" s="1045"/>
    </row>
    <row r="1105" spans="1:13" x14ac:dyDescent="0.2">
      <c r="A1105" s="693">
        <v>1101</v>
      </c>
      <c r="B1105" s="749" t="str">
        <f t="shared" si="18"/>
        <v>Flat-rolled products of alloy steel other than stainless, of a width of &lt; 600 mm, not further worked than hot-rolled (excl. products of high-speed steel or silicon-electrical steel)</v>
      </c>
      <c r="C1105" s="749" t="s">
        <v>2381</v>
      </c>
      <c r="D1105" s="1045"/>
      <c r="E1105" s="1045"/>
      <c r="F1105" s="1045"/>
      <c r="G1105" s="1045"/>
      <c r="H1105" s="1045"/>
      <c r="I1105" s="1045"/>
      <c r="J1105" s="1045"/>
      <c r="K1105" s="1045"/>
      <c r="L1105" s="1045"/>
      <c r="M1105" s="1045"/>
    </row>
    <row r="1106" spans="1:13" x14ac:dyDescent="0.2">
      <c r="A1106" s="693">
        <v>1102</v>
      </c>
      <c r="B1106" s="749" t="str">
        <f t="shared" si="18"/>
        <v>Flat-rolled products of tool steel, of a width of &lt; 600 mm, simply hot-rolled</v>
      </c>
      <c r="C1106" s="749" t="s">
        <v>2383</v>
      </c>
      <c r="D1106" s="1045"/>
      <c r="E1106" s="1045"/>
      <c r="F1106" s="1045"/>
      <c r="G1106" s="1045"/>
      <c r="H1106" s="1045"/>
      <c r="I1106" s="1045"/>
      <c r="J1106" s="1045"/>
      <c r="K1106" s="1045"/>
      <c r="L1106" s="1045"/>
      <c r="M1106" s="1045"/>
    </row>
    <row r="1107" spans="1:13" x14ac:dyDescent="0.2">
      <c r="A1107" s="693">
        <v>1103</v>
      </c>
      <c r="B1107" s="749" t="str">
        <f t="shared" si="18"/>
        <v>Flat-rolled products of alloy steel other than stainless steel, simply hot-rolled, of a thickness of &gt;= 4,75 mm, of a width of &lt; 600 mm (excl. of tool steel, silicon-electrical steel or high speed steel)</v>
      </c>
      <c r="C1107" s="749" t="s">
        <v>2385</v>
      </c>
      <c r="D1107" s="1045"/>
      <c r="E1107" s="1045"/>
      <c r="F1107" s="1045"/>
      <c r="G1107" s="1045"/>
      <c r="H1107" s="1045"/>
      <c r="I1107" s="1045"/>
      <c r="J1107" s="1045"/>
      <c r="K1107" s="1045"/>
      <c r="L1107" s="1045"/>
      <c r="M1107" s="1045"/>
    </row>
    <row r="1108" spans="1:13" x14ac:dyDescent="0.2">
      <c r="A1108" s="693">
        <v>1104</v>
      </c>
      <c r="B1108" s="749" t="str">
        <f t="shared" si="18"/>
        <v>Flat-rolled products of alloy steel other than stainless steel, simply hot-rolled, of a thickness of &lt; 4,75 mm, of a width of &lt; 600 mm (excl. of tool steel, silicon-electrical steel or high speed steel)</v>
      </c>
      <c r="C1108" s="749" t="s">
        <v>2387</v>
      </c>
      <c r="D1108" s="1045"/>
      <c r="E1108" s="1045"/>
      <c r="F1108" s="1045"/>
      <c r="G1108" s="1045"/>
      <c r="H1108" s="1045"/>
      <c r="I1108" s="1045"/>
      <c r="J1108" s="1045"/>
      <c r="K1108" s="1045"/>
      <c r="L1108" s="1045"/>
      <c r="M1108" s="1045"/>
    </row>
    <row r="1109" spans="1:13" x14ac:dyDescent="0.2">
      <c r="A1109" s="693">
        <v>1105</v>
      </c>
      <c r="B1109" s="749" t="str">
        <f t="shared" si="18"/>
        <v>Flat-rolled products of alloy steel other than stainless, of a width of &lt; 600 mm, not further worked than cold-rolled "cold-reduced" (excl. products of high-speed steel or silicon-electrical steel)</v>
      </c>
      <c r="C1109" s="749" t="s">
        <v>2389</v>
      </c>
      <c r="D1109" s="1045"/>
      <c r="E1109" s="1045"/>
      <c r="F1109" s="1045"/>
      <c r="G1109" s="1045"/>
      <c r="H1109" s="1045"/>
      <c r="I1109" s="1045"/>
      <c r="J1109" s="1045"/>
      <c r="K1109" s="1045"/>
      <c r="L1109" s="1045"/>
      <c r="M1109" s="1045"/>
    </row>
    <row r="1110" spans="1:13" x14ac:dyDescent="0.2">
      <c r="A1110" s="693">
        <v>1106</v>
      </c>
      <c r="B1110" s="749" t="str">
        <f t="shared" si="18"/>
        <v>Flat-rolled products of alloy steel other than stainless, of a width of &lt; 600 mm, hot-rolled or cold-rolled "cold-reduced" and further worked (excl. products of high-speed steel or silicon-electrical steel)</v>
      </c>
      <c r="C1110" s="749" t="s">
        <v>2391</v>
      </c>
      <c r="D1110" s="1045"/>
      <c r="E1110" s="1045"/>
      <c r="F1110" s="1045"/>
      <c r="G1110" s="1045"/>
      <c r="H1110" s="1045"/>
      <c r="I1110" s="1045"/>
      <c r="J1110" s="1045"/>
      <c r="K1110" s="1045"/>
      <c r="L1110" s="1045"/>
      <c r="M1110" s="1045"/>
    </row>
    <row r="1111" spans="1:13" x14ac:dyDescent="0.2">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2393</v>
      </c>
      <c r="D1111" s="1045"/>
      <c r="E1111" s="1045"/>
      <c r="F1111" s="1045"/>
      <c r="G1111" s="1045"/>
      <c r="H1111" s="1045"/>
      <c r="I1111" s="1045"/>
      <c r="J1111" s="1045"/>
      <c r="K1111" s="1045"/>
      <c r="L1111" s="1045"/>
      <c r="M1111" s="1045"/>
    </row>
    <row r="1112" spans="1:13" x14ac:dyDescent="0.2">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2395</v>
      </c>
      <c r="D1112" s="1045"/>
      <c r="E1112" s="1045"/>
      <c r="F1112" s="1045"/>
      <c r="G1112" s="1045"/>
      <c r="H1112" s="1045"/>
      <c r="I1112" s="1045"/>
      <c r="J1112" s="1045"/>
      <c r="K1112" s="1045"/>
      <c r="L1112" s="1045"/>
      <c r="M1112" s="1045"/>
    </row>
    <row r="1113" spans="1:13" x14ac:dyDescent="0.2">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2397</v>
      </c>
      <c r="D1113" s="1045"/>
      <c r="E1113" s="1045"/>
      <c r="F1113" s="1045"/>
      <c r="G1113" s="1045"/>
      <c r="H1113" s="1045"/>
      <c r="I1113" s="1045"/>
      <c r="J1113" s="1045"/>
      <c r="K1113" s="1045"/>
      <c r="L1113" s="1045"/>
      <c r="M1113" s="1045"/>
    </row>
    <row r="1114" spans="1:13" x14ac:dyDescent="0.2">
      <c r="A1114" s="693">
        <v>1110</v>
      </c>
      <c r="B1114" s="749" t="str">
        <f t="shared" si="18"/>
        <v>Bars and rods of alloy steel other than stainless, hot-rolled, in irregularly wound coils</v>
      </c>
      <c r="C1114" s="749" t="s">
        <v>2399</v>
      </c>
      <c r="D1114" s="1045"/>
      <c r="E1114" s="1045"/>
      <c r="F1114" s="1045"/>
      <c r="G1114" s="1045"/>
      <c r="H1114" s="1045"/>
      <c r="I1114" s="1045"/>
      <c r="J1114" s="1045"/>
      <c r="K1114" s="1045"/>
      <c r="L1114" s="1045"/>
      <c r="M1114" s="1045"/>
    </row>
    <row r="1115" spans="1:13" x14ac:dyDescent="0.2">
      <c r="A1115" s="693">
        <v>1111</v>
      </c>
      <c r="B1115" s="749" t="str">
        <f t="shared" si="18"/>
        <v>Bars and rods of high-speed steel, hot-rolled, in irregularly wound coils</v>
      </c>
      <c r="C1115" s="749" t="s">
        <v>2401</v>
      </c>
      <c r="D1115" s="1045"/>
      <c r="E1115" s="1045"/>
      <c r="F1115" s="1045"/>
      <c r="G1115" s="1045"/>
      <c r="H1115" s="1045"/>
      <c r="I1115" s="1045"/>
      <c r="J1115" s="1045"/>
      <c r="K1115" s="1045"/>
      <c r="L1115" s="1045"/>
      <c r="M1115" s="1045"/>
    </row>
    <row r="1116" spans="1:13" x14ac:dyDescent="0.2">
      <c r="A1116" s="693">
        <v>1112</v>
      </c>
      <c r="B1116" s="749" t="str">
        <f t="shared" si="18"/>
        <v>Bars and rods of silico-manganese steel, hot-rolled, in irregularly wound coils</v>
      </c>
      <c r="C1116" s="749" t="s">
        <v>2403</v>
      </c>
      <c r="D1116" s="1045"/>
      <c r="E1116" s="1045"/>
      <c r="F1116" s="1045"/>
      <c r="G1116" s="1045"/>
      <c r="H1116" s="1045"/>
      <c r="I1116" s="1045"/>
      <c r="J1116" s="1045"/>
      <c r="K1116" s="1045"/>
      <c r="L1116" s="1045"/>
      <c r="M1116" s="1045"/>
    </row>
    <row r="1117" spans="1:13" x14ac:dyDescent="0.2">
      <c r="A1117" s="693">
        <v>1113</v>
      </c>
      <c r="B1117" s="749" t="str">
        <f t="shared" si="18"/>
        <v>Bars and rods of alloy steel other than stainless, hot-rolled, in irregularly wound coils (excl. products of high-speed steel or silicon-electrical steel)</v>
      </c>
      <c r="C1117" s="749" t="s">
        <v>2405</v>
      </c>
      <c r="D1117" s="1045"/>
      <c r="E1117" s="1045"/>
      <c r="F1117" s="1045"/>
      <c r="G1117" s="1045"/>
      <c r="H1117" s="1045"/>
      <c r="I1117" s="1045"/>
      <c r="J1117" s="1045"/>
      <c r="K1117" s="1045"/>
      <c r="L1117" s="1045"/>
      <c r="M1117" s="1045"/>
    </row>
    <row r="1118" spans="1:13" x14ac:dyDescent="0.2">
      <c r="A1118" s="693">
        <v>1114</v>
      </c>
      <c r="B1118" s="749" t="str">
        <f t="shared" si="18"/>
        <v>Bars and rods, hot-rolled, of steel containing by weight &gt;= 0,0008% of boron with any other element &lt; the minimum content referred to in Note 1 f to this chapter, in irregularly wound coils</v>
      </c>
      <c r="C1118" s="749" t="s">
        <v>2407</v>
      </c>
      <c r="D1118" s="1045"/>
      <c r="E1118" s="1045"/>
      <c r="F1118" s="1045"/>
      <c r="G1118" s="1045"/>
      <c r="H1118" s="1045"/>
      <c r="I1118" s="1045"/>
      <c r="J1118" s="1045"/>
      <c r="K1118" s="1045"/>
      <c r="L1118" s="1045"/>
      <c r="M1118" s="1045"/>
    </row>
    <row r="1119" spans="1:13" x14ac:dyDescent="0.2">
      <c r="A1119" s="693">
        <v>1115</v>
      </c>
      <c r="B1119" s="749" t="str">
        <f t="shared" si="18"/>
        <v>Bars and rods, hot-rolled, of steel containing by weight 0,9% to 1,15% carbon, 0,5% to 2% of chromium and, if present, &lt;= 0,5 of molybdenum, in irregularly wound coils</v>
      </c>
      <c r="C1119" s="749" t="s">
        <v>2409</v>
      </c>
      <c r="D1119" s="1045"/>
      <c r="E1119" s="1045"/>
      <c r="F1119" s="1045"/>
      <c r="G1119" s="1045"/>
      <c r="H1119" s="1045"/>
      <c r="I1119" s="1045"/>
      <c r="J1119" s="1045"/>
      <c r="K1119" s="1045"/>
      <c r="L1119" s="1045"/>
      <c r="M1119" s="1045"/>
    </row>
    <row r="1120" spans="1:13" x14ac:dyDescent="0.2">
      <c r="A1120" s="693">
        <v>1116</v>
      </c>
      <c r="B1120" s="749" t="str">
        <f t="shared" si="18"/>
        <v>Bars and rods, hot-rolled, in irregularly wound coils of alloy steel other than stainless (excl. of high-speed steel or silico-manganese steel and bars and rods of subheadings 7227.90.10 and 7227.90.50)</v>
      </c>
      <c r="C1120" s="749" t="s">
        <v>2411</v>
      </c>
      <c r="D1120" s="1045"/>
      <c r="E1120" s="1045"/>
      <c r="F1120" s="1045"/>
      <c r="G1120" s="1045"/>
      <c r="H1120" s="1045"/>
      <c r="I1120" s="1045"/>
      <c r="J1120" s="1045"/>
      <c r="K1120" s="1045"/>
      <c r="L1120" s="1045"/>
      <c r="M1120" s="1045"/>
    </row>
    <row r="1121" spans="1:13" x14ac:dyDescent="0.2">
      <c r="A1121" s="693">
        <v>1117</v>
      </c>
      <c r="B1121" s="749" t="str">
        <f t="shared" si="18"/>
        <v>Other bars and rods of alloy steel other than stainless, angles, shapes and sections of alloy steel other than stainless, n.e.s.; hollow drill bars and rods, of alloy or non-alloy steel</v>
      </c>
      <c r="C1121" s="749" t="s">
        <v>2413</v>
      </c>
      <c r="D1121" s="1045"/>
      <c r="E1121" s="1045"/>
      <c r="F1121" s="1045"/>
      <c r="G1121" s="1045"/>
      <c r="H1121" s="1045"/>
      <c r="I1121" s="1045"/>
      <c r="J1121" s="1045"/>
      <c r="K1121" s="1045"/>
      <c r="L1121" s="1045"/>
      <c r="M1121" s="1045"/>
    </row>
    <row r="1122" spans="1:13" x14ac:dyDescent="0.2">
      <c r="A1122" s="693">
        <v>1118</v>
      </c>
      <c r="B1122" s="749" t="str">
        <f t="shared" si="18"/>
        <v>Bars and rods of high-speed steel (excl. semi-finished products, flat-rolled products and hot-rolled bars and rods in irregularly wound coils)</v>
      </c>
      <c r="C1122" s="749" t="s">
        <v>2415</v>
      </c>
      <c r="D1122" s="1045"/>
      <c r="E1122" s="1045"/>
      <c r="F1122" s="1045"/>
      <c r="G1122" s="1045"/>
      <c r="H1122" s="1045"/>
      <c r="I1122" s="1045"/>
      <c r="J1122" s="1045"/>
      <c r="K1122" s="1045"/>
      <c r="L1122" s="1045"/>
      <c r="M1122" s="1045"/>
    </row>
    <row r="1123" spans="1:13" x14ac:dyDescent="0.2">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2417</v>
      </c>
      <c r="D1123" s="1045"/>
      <c r="E1123" s="1045"/>
      <c r="F1123" s="1045"/>
      <c r="G1123" s="1045"/>
      <c r="H1123" s="1045"/>
      <c r="I1123" s="1045"/>
      <c r="J1123" s="1045"/>
      <c r="K1123" s="1045"/>
      <c r="L1123" s="1045"/>
      <c r="M1123" s="1045"/>
    </row>
    <row r="1124" spans="1:13" x14ac:dyDescent="0.2">
      <c r="A1124" s="693">
        <v>1120</v>
      </c>
      <c r="B1124" s="749" t="str">
        <f t="shared" si="18"/>
        <v>Bars and rods of high-speed steel, forged (excl. semi-finished products, flat-rolled products and hot-rolled bars and rods in irregularly wound coils)</v>
      </c>
      <c r="C1124" s="749" t="s">
        <v>2419</v>
      </c>
      <c r="D1124" s="1045"/>
      <c r="E1124" s="1045"/>
      <c r="F1124" s="1045"/>
      <c r="G1124" s="1045"/>
      <c r="H1124" s="1045"/>
      <c r="I1124" s="1045"/>
      <c r="J1124" s="1045"/>
      <c r="K1124" s="1045"/>
      <c r="L1124" s="1045"/>
      <c r="M1124" s="1045"/>
    </row>
    <row r="1125" spans="1:13" x14ac:dyDescent="0.2">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2421</v>
      </c>
      <c r="D1125" s="1045"/>
      <c r="E1125" s="1045"/>
      <c r="F1125" s="1045"/>
      <c r="G1125" s="1045"/>
      <c r="H1125" s="1045"/>
      <c r="I1125" s="1045"/>
      <c r="J1125" s="1045"/>
      <c r="K1125" s="1045"/>
      <c r="L1125" s="1045"/>
      <c r="M1125" s="1045"/>
    </row>
    <row r="1126" spans="1:13" x14ac:dyDescent="0.2">
      <c r="A1126" s="693">
        <v>1122</v>
      </c>
      <c r="B1126" s="749" t="str">
        <f t="shared" si="18"/>
        <v>Bars and rods of silico-manganese steel (excl. semi-finished products, flat-rolled products and hot-rolled bars and rods in irregularly wound coils)</v>
      </c>
      <c r="C1126" s="749" t="s">
        <v>2423</v>
      </c>
      <c r="D1126" s="1045"/>
      <c r="E1126" s="1045"/>
      <c r="F1126" s="1045"/>
      <c r="G1126" s="1045"/>
      <c r="H1126" s="1045"/>
      <c r="I1126" s="1045"/>
      <c r="J1126" s="1045"/>
      <c r="K1126" s="1045"/>
      <c r="L1126" s="1045"/>
      <c r="M1126" s="1045"/>
    </row>
    <row r="1127" spans="1:13" x14ac:dyDescent="0.2">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2425</v>
      </c>
      <c r="D1127" s="1045"/>
      <c r="E1127" s="1045"/>
      <c r="F1127" s="1045"/>
      <c r="G1127" s="1045"/>
      <c r="H1127" s="1045"/>
      <c r="I1127" s="1045"/>
      <c r="J1127" s="1045"/>
      <c r="K1127" s="1045"/>
      <c r="L1127" s="1045"/>
      <c r="M1127" s="1045"/>
    </row>
    <row r="1128" spans="1:13" x14ac:dyDescent="0.2">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2427</v>
      </c>
      <c r="D1128" s="1045"/>
      <c r="E1128" s="1045"/>
      <c r="F1128" s="1045"/>
      <c r="G1128" s="1045"/>
      <c r="H1128" s="1045"/>
      <c r="I1128" s="1045"/>
      <c r="J1128" s="1045"/>
      <c r="K1128" s="1045"/>
      <c r="L1128" s="1045"/>
      <c r="M1128" s="1045"/>
    </row>
    <row r="1129" spans="1:13" x14ac:dyDescent="0.2">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2429</v>
      </c>
      <c r="D1129" s="1045"/>
      <c r="E1129" s="1045"/>
      <c r="F1129" s="1045"/>
      <c r="G1129" s="1045"/>
      <c r="H1129" s="1045"/>
      <c r="I1129" s="1045"/>
      <c r="J1129" s="1045"/>
      <c r="K1129" s="1045"/>
      <c r="L1129" s="1045"/>
      <c r="M1129" s="1045"/>
    </row>
    <row r="1130" spans="1:13" x14ac:dyDescent="0.2">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2431</v>
      </c>
      <c r="D1130" s="1045"/>
      <c r="E1130" s="1045"/>
      <c r="F1130" s="1045"/>
      <c r="G1130" s="1045"/>
      <c r="H1130" s="1045"/>
      <c r="I1130" s="1045"/>
      <c r="J1130" s="1045"/>
      <c r="K1130" s="1045"/>
      <c r="L1130" s="1045"/>
      <c r="M1130" s="1045"/>
    </row>
    <row r="1131" spans="1:13" x14ac:dyDescent="0.2">
      <c r="A1131" s="693">
        <v>1127</v>
      </c>
      <c r="B1131" s="749" t="str">
        <f t="shared" si="18"/>
        <v>Bars and rods of tool steel, only hot-rolled, only hot-drawn or only extruded (excl. semi-finished products, flat-rolled products and hot-rolled bars and rods in irregularly wound coils)</v>
      </c>
      <c r="C1131" s="749" t="s">
        <v>2433</v>
      </c>
      <c r="D1131" s="1045"/>
      <c r="E1131" s="1045"/>
      <c r="F1131" s="1045"/>
      <c r="G1131" s="1045"/>
      <c r="H1131" s="1045"/>
      <c r="I1131" s="1045"/>
      <c r="J1131" s="1045"/>
      <c r="K1131" s="1045"/>
      <c r="L1131" s="1045"/>
      <c r="M1131" s="1045"/>
    </row>
    <row r="1132" spans="1:13" x14ac:dyDescent="0.2">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2435</v>
      </c>
      <c r="D1132" s="1045"/>
      <c r="E1132" s="1045"/>
      <c r="F1132" s="1045"/>
      <c r="G1132" s="1045"/>
      <c r="H1132" s="1045"/>
      <c r="I1132" s="1045"/>
      <c r="J1132" s="1045"/>
      <c r="K1132" s="1045"/>
      <c r="L1132" s="1045"/>
      <c r="M1132" s="1045"/>
    </row>
    <row r="1133" spans="1:13" x14ac:dyDescent="0.2">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2437</v>
      </c>
      <c r="D1133" s="1045"/>
      <c r="E1133" s="1045"/>
      <c r="F1133" s="1045"/>
      <c r="G1133" s="1045"/>
      <c r="H1133" s="1045"/>
      <c r="I1133" s="1045"/>
      <c r="J1133" s="1045"/>
      <c r="K1133" s="1045"/>
      <c r="L1133" s="1045"/>
      <c r="M1133" s="1045"/>
    </row>
    <row r="1134" spans="1:13" x14ac:dyDescent="0.2">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2439</v>
      </c>
      <c r="D1134" s="1045"/>
      <c r="E1134" s="1045"/>
      <c r="F1134" s="1045"/>
      <c r="G1134" s="1045"/>
      <c r="H1134" s="1045"/>
      <c r="I1134" s="1045"/>
      <c r="J1134" s="1045"/>
      <c r="K1134" s="1045"/>
      <c r="L1134" s="1045"/>
      <c r="M1134" s="1045"/>
    </row>
    <row r="1135" spans="1:13" x14ac:dyDescent="0.2">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2441</v>
      </c>
      <c r="D1135" s="1045"/>
      <c r="E1135" s="1045"/>
      <c r="F1135" s="1045"/>
      <c r="G1135" s="1045"/>
      <c r="H1135" s="1045"/>
      <c r="I1135" s="1045"/>
      <c r="J1135" s="1045"/>
      <c r="K1135" s="1045"/>
      <c r="L1135" s="1045"/>
      <c r="M1135" s="1045"/>
    </row>
    <row r="1136" spans="1:13" x14ac:dyDescent="0.2">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2443</v>
      </c>
      <c r="D1136" s="1045"/>
      <c r="E1136" s="1045"/>
      <c r="F1136" s="1045"/>
      <c r="G1136" s="1045"/>
      <c r="H1136" s="1045"/>
      <c r="I1136" s="1045"/>
      <c r="J1136" s="1045"/>
      <c r="K1136" s="1045"/>
      <c r="L1136" s="1045"/>
      <c r="M1136" s="1045"/>
    </row>
    <row r="1137" spans="1:13" x14ac:dyDescent="0.2">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2445</v>
      </c>
      <c r="D1137" s="1045"/>
      <c r="E1137" s="1045"/>
      <c r="F1137" s="1045"/>
      <c r="G1137" s="1045"/>
      <c r="H1137" s="1045"/>
      <c r="I1137" s="1045"/>
      <c r="J1137" s="1045"/>
      <c r="K1137" s="1045"/>
      <c r="L1137" s="1045"/>
      <c r="M1137" s="1045"/>
    </row>
    <row r="1138" spans="1:13" x14ac:dyDescent="0.2">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2447</v>
      </c>
      <c r="D1138" s="1045"/>
      <c r="E1138" s="1045"/>
      <c r="F1138" s="1045"/>
      <c r="G1138" s="1045"/>
      <c r="H1138" s="1045"/>
      <c r="I1138" s="1045"/>
      <c r="J1138" s="1045"/>
      <c r="K1138" s="1045"/>
      <c r="L1138" s="1045"/>
      <c r="M1138" s="1045"/>
    </row>
    <row r="1139" spans="1:13" x14ac:dyDescent="0.2">
      <c r="A1139" s="693">
        <v>1135</v>
      </c>
      <c r="B1139" s="749" t="str">
        <f t="shared" si="18"/>
        <v>Bars and rods of tool steel, only forged (excl. semi-finished products, flat-rolled products and hot-rolled bars and rods in irregularly wound coils)</v>
      </c>
      <c r="C1139" s="749" t="s">
        <v>2449</v>
      </c>
      <c r="D1139" s="1045"/>
      <c r="E1139" s="1045"/>
      <c r="F1139" s="1045"/>
      <c r="G1139" s="1045"/>
      <c r="H1139" s="1045"/>
      <c r="I1139" s="1045"/>
      <c r="J1139" s="1045"/>
      <c r="K1139" s="1045"/>
      <c r="L1139" s="1045"/>
      <c r="M1139" s="1045"/>
    </row>
    <row r="1140" spans="1:13" x14ac:dyDescent="0.2">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2451</v>
      </c>
      <c r="D1140" s="1045"/>
      <c r="E1140" s="1045"/>
      <c r="F1140" s="1045"/>
      <c r="G1140" s="1045"/>
      <c r="H1140" s="1045"/>
      <c r="I1140" s="1045"/>
      <c r="J1140" s="1045"/>
      <c r="K1140" s="1045"/>
      <c r="L1140" s="1045"/>
      <c r="M1140" s="1045"/>
    </row>
    <row r="1141" spans="1:13" x14ac:dyDescent="0.2">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2453</v>
      </c>
      <c r="D1141" s="1045"/>
      <c r="E1141" s="1045"/>
      <c r="F1141" s="1045"/>
      <c r="G1141" s="1045"/>
      <c r="H1141" s="1045"/>
      <c r="I1141" s="1045"/>
      <c r="J1141" s="1045"/>
      <c r="K1141" s="1045"/>
      <c r="L1141" s="1045"/>
      <c r="M1141" s="1045"/>
    </row>
    <row r="1142" spans="1:13" x14ac:dyDescent="0.2">
      <c r="A1142" s="693">
        <v>1138</v>
      </c>
      <c r="B1142" s="749" t="str">
        <f t="shared" si="18"/>
        <v>Bars and rods of tool steel, only cold-formed or cold-finished (excl. semi-finished products, flat-rolled products and hot-rolled bars and rods in irregularly wound coils)</v>
      </c>
      <c r="C1142" s="749" t="s">
        <v>2455</v>
      </c>
      <c r="D1142" s="1045"/>
      <c r="E1142" s="1045"/>
      <c r="F1142" s="1045"/>
      <c r="G1142" s="1045"/>
      <c r="H1142" s="1045"/>
      <c r="I1142" s="1045"/>
      <c r="J1142" s="1045"/>
      <c r="K1142" s="1045"/>
      <c r="L1142" s="1045"/>
      <c r="M1142" s="1045"/>
    </row>
    <row r="1143" spans="1:13" x14ac:dyDescent="0.2">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2457</v>
      </c>
      <c r="D1143" s="1045"/>
      <c r="E1143" s="1045"/>
      <c r="F1143" s="1045"/>
      <c r="G1143" s="1045"/>
      <c r="H1143" s="1045"/>
      <c r="I1143" s="1045"/>
      <c r="J1143" s="1045"/>
      <c r="K1143" s="1045"/>
      <c r="L1143" s="1045"/>
      <c r="M1143" s="1045"/>
    </row>
    <row r="1144" spans="1:13" x14ac:dyDescent="0.2">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2459</v>
      </c>
      <c r="D1144" s="1045"/>
      <c r="E1144" s="1045"/>
      <c r="F1144" s="1045"/>
      <c r="G1144" s="1045"/>
      <c r="H1144" s="1045"/>
      <c r="I1144" s="1045"/>
      <c r="J1144" s="1045"/>
      <c r="K1144" s="1045"/>
      <c r="L1144" s="1045"/>
      <c r="M1144" s="1045"/>
    </row>
    <row r="1145" spans="1:13" x14ac:dyDescent="0.2">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2461</v>
      </c>
      <c r="D1145" s="1045"/>
      <c r="E1145" s="1045"/>
      <c r="F1145" s="1045"/>
      <c r="G1145" s="1045"/>
      <c r="H1145" s="1045"/>
      <c r="I1145" s="1045"/>
      <c r="J1145" s="1045"/>
      <c r="K1145" s="1045"/>
      <c r="L1145" s="1045"/>
      <c r="M1145" s="1045"/>
    </row>
    <row r="1146" spans="1:13" x14ac:dyDescent="0.2">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2463</v>
      </c>
      <c r="D1146" s="1045"/>
      <c r="E1146" s="1045"/>
      <c r="F1146" s="1045"/>
      <c r="G1146" s="1045"/>
      <c r="H1146" s="1045"/>
      <c r="I1146" s="1045"/>
      <c r="J1146" s="1045"/>
      <c r="K1146" s="1045"/>
      <c r="L1146" s="1045"/>
      <c r="M1146" s="1045"/>
    </row>
    <row r="1147" spans="1:13" x14ac:dyDescent="0.2">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2465</v>
      </c>
      <c r="D1147" s="1045"/>
      <c r="E1147" s="1045"/>
      <c r="F1147" s="1045"/>
      <c r="G1147" s="1045"/>
      <c r="H1147" s="1045"/>
      <c r="I1147" s="1045"/>
      <c r="J1147" s="1045"/>
      <c r="K1147" s="1045"/>
      <c r="L1147" s="1045"/>
      <c r="M1147" s="1045"/>
    </row>
    <row r="1148" spans="1:13" x14ac:dyDescent="0.2">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2467</v>
      </c>
      <c r="D1148" s="1045"/>
      <c r="E1148" s="1045"/>
      <c r="F1148" s="1045"/>
      <c r="G1148" s="1045"/>
      <c r="H1148" s="1045"/>
      <c r="I1148" s="1045"/>
      <c r="J1148" s="1045"/>
      <c r="K1148" s="1045"/>
      <c r="L1148" s="1045"/>
      <c r="M1148" s="1045"/>
    </row>
    <row r="1149" spans="1:13" x14ac:dyDescent="0.2">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2469</v>
      </c>
      <c r="D1149" s="1045"/>
      <c r="E1149" s="1045"/>
      <c r="F1149" s="1045"/>
      <c r="G1149" s="1045"/>
      <c r="H1149" s="1045"/>
      <c r="I1149" s="1045"/>
      <c r="J1149" s="1045"/>
      <c r="K1149" s="1045"/>
      <c r="L1149" s="1045"/>
      <c r="M1149" s="1045"/>
    </row>
    <row r="1150" spans="1:13" x14ac:dyDescent="0.2">
      <c r="A1150" s="693">
        <v>1146</v>
      </c>
      <c r="B1150" s="749" t="str">
        <f t="shared" si="18"/>
        <v>Angles, shapes and sections of alloy steel other than stainless, n.e.s.</v>
      </c>
      <c r="C1150" s="749" t="s">
        <v>2471</v>
      </c>
      <c r="D1150" s="1045"/>
      <c r="E1150" s="1045"/>
      <c r="F1150" s="1045"/>
      <c r="G1150" s="1045"/>
      <c r="H1150" s="1045"/>
      <c r="I1150" s="1045"/>
      <c r="J1150" s="1045"/>
      <c r="K1150" s="1045"/>
      <c r="L1150" s="1045"/>
      <c r="M1150" s="1045"/>
    </row>
    <row r="1151" spans="1:13" x14ac:dyDescent="0.2">
      <c r="A1151" s="693">
        <v>1147</v>
      </c>
      <c r="B1151" s="749" t="str">
        <f t="shared" si="18"/>
        <v>Angles, shapes and sections of alloy steel other than stainless, not further worked than hot-rolled, hot-drawn or extruded</v>
      </c>
      <c r="C1151" s="749" t="s">
        <v>2473</v>
      </c>
      <c r="D1151" s="1045"/>
      <c r="E1151" s="1045"/>
      <c r="F1151" s="1045"/>
      <c r="G1151" s="1045"/>
      <c r="H1151" s="1045"/>
      <c r="I1151" s="1045"/>
      <c r="J1151" s="1045"/>
      <c r="K1151" s="1045"/>
      <c r="L1151" s="1045"/>
      <c r="M1151" s="1045"/>
    </row>
    <row r="1152" spans="1:13" x14ac:dyDescent="0.2">
      <c r="A1152" s="693">
        <v>1148</v>
      </c>
      <c r="B1152" s="749" t="str">
        <f t="shared" si="18"/>
        <v>Angles, shapes and sections of alloy steel other than stainless, n.e.s. (excl. products not further worked than hot-rolled, hot-drawn or extruded)</v>
      </c>
      <c r="C1152" s="749" t="s">
        <v>2475</v>
      </c>
      <c r="D1152" s="1045"/>
      <c r="E1152" s="1045"/>
      <c r="F1152" s="1045"/>
      <c r="G1152" s="1045"/>
      <c r="H1152" s="1045"/>
      <c r="I1152" s="1045"/>
      <c r="J1152" s="1045"/>
      <c r="K1152" s="1045"/>
      <c r="L1152" s="1045"/>
      <c r="M1152" s="1045"/>
    </row>
    <row r="1153" spans="1:13" x14ac:dyDescent="0.2">
      <c r="A1153" s="693">
        <v>1149</v>
      </c>
      <c r="B1153" s="749" t="str">
        <f t="shared" si="18"/>
        <v>Hollow drill bars and rods, of alloy or non-alloy steel</v>
      </c>
      <c r="C1153" s="749" t="s">
        <v>2477</v>
      </c>
      <c r="D1153" s="1045"/>
      <c r="E1153" s="1045"/>
      <c r="F1153" s="1045"/>
      <c r="G1153" s="1045"/>
      <c r="H1153" s="1045"/>
      <c r="I1153" s="1045"/>
      <c r="J1153" s="1045"/>
      <c r="K1153" s="1045"/>
      <c r="L1153" s="1045"/>
      <c r="M1153" s="1045"/>
    </row>
    <row r="1154" spans="1:13" x14ac:dyDescent="0.2">
      <c r="A1154" s="693">
        <v>1150</v>
      </c>
      <c r="B1154" s="749" t="str">
        <f t="shared" si="18"/>
        <v>Wire of alloy steel other than stainless, in coils (excl. bars and rods)</v>
      </c>
      <c r="C1154" s="749" t="s">
        <v>2479</v>
      </c>
      <c r="D1154" s="1045"/>
      <c r="E1154" s="1045"/>
      <c r="F1154" s="1045"/>
      <c r="G1154" s="1045"/>
      <c r="H1154" s="1045"/>
      <c r="I1154" s="1045"/>
      <c r="J1154" s="1045"/>
      <c r="K1154" s="1045"/>
      <c r="L1154" s="1045"/>
      <c r="M1154" s="1045"/>
    </row>
    <row r="1155" spans="1:13" x14ac:dyDescent="0.2">
      <c r="A1155" s="693">
        <v>1151</v>
      </c>
      <c r="B1155" s="749" t="str">
        <f t="shared" si="18"/>
        <v>Wire of silico-manganese steel, in coils (excl. bars and rods)</v>
      </c>
      <c r="C1155" s="749" t="s">
        <v>2481</v>
      </c>
      <c r="D1155" s="1045"/>
      <c r="E1155" s="1045"/>
      <c r="F1155" s="1045"/>
      <c r="G1155" s="1045"/>
      <c r="H1155" s="1045"/>
      <c r="I1155" s="1045"/>
      <c r="J1155" s="1045"/>
      <c r="K1155" s="1045"/>
      <c r="L1155" s="1045"/>
      <c r="M1155" s="1045"/>
    </row>
    <row r="1156" spans="1:13" x14ac:dyDescent="0.2">
      <c r="A1156" s="693">
        <v>1152</v>
      </c>
      <c r="B1156" s="749" t="str">
        <f t="shared" si="18"/>
        <v>Wire of alloy steel other than stainless, in coils (excl. bars and rods and wire of silico-manganese steel)</v>
      </c>
      <c r="C1156" s="749" t="s">
        <v>2483</v>
      </c>
      <c r="D1156" s="1045"/>
      <c r="E1156" s="1045"/>
      <c r="F1156" s="1045"/>
      <c r="G1156" s="1045"/>
      <c r="H1156" s="1045"/>
      <c r="I1156" s="1045"/>
      <c r="J1156" s="1045"/>
      <c r="K1156" s="1045"/>
      <c r="L1156" s="1045"/>
      <c r="M1156" s="1045"/>
    </row>
    <row r="1157" spans="1:13" x14ac:dyDescent="0.2">
      <c r="A1157" s="693">
        <v>1153</v>
      </c>
      <c r="B1157" s="749" t="str">
        <f t="shared" si="18"/>
        <v>Wire of high-speed steel, in coils (excl. bars and rods)</v>
      </c>
      <c r="C1157" s="749" t="s">
        <v>2485</v>
      </c>
      <c r="D1157" s="1045"/>
      <c r="E1157" s="1045"/>
      <c r="F1157" s="1045"/>
      <c r="G1157" s="1045"/>
      <c r="H1157" s="1045"/>
      <c r="I1157" s="1045"/>
      <c r="J1157" s="1045"/>
      <c r="K1157" s="1045"/>
      <c r="L1157" s="1045"/>
      <c r="M1157" s="1045"/>
    </row>
    <row r="1158" spans="1:13" x14ac:dyDescent="0.2">
      <c r="A1158" s="693">
        <v>1154</v>
      </c>
      <c r="B1158" s="749" t="str">
        <f t="shared" si="18"/>
        <v>Wire of steel containing by weight 0,9% to 1,1% of carbon, 0,5% to 2% of chromium and, if present, &lt;= 0,5% of molybdenum, in coils (excl. rolled bars and rods)</v>
      </c>
      <c r="C1158" s="749" t="s">
        <v>2487</v>
      </c>
      <c r="D1158" s="1045"/>
      <c r="E1158" s="1045"/>
      <c r="F1158" s="1045"/>
      <c r="G1158" s="1045"/>
      <c r="H1158" s="1045"/>
      <c r="I1158" s="1045"/>
      <c r="J1158" s="1045"/>
      <c r="K1158" s="1045"/>
      <c r="L1158" s="1045"/>
      <c r="M1158" s="1045"/>
    </row>
    <row r="1159" spans="1:13" x14ac:dyDescent="0.2">
      <c r="A1159" s="693">
        <v>1155</v>
      </c>
      <c r="B1159" s="749" t="str">
        <f t="shared" si="18"/>
        <v>Wire of alloy steel other than stainless, in coils (excl. rolled bars and rods, wire of high-speed steel or silico-manganese steel and articles of subheading 7229.90.50)</v>
      </c>
      <c r="C1159" s="749" t="s">
        <v>2489</v>
      </c>
      <c r="D1159" s="1045"/>
      <c r="E1159" s="1045"/>
      <c r="F1159" s="1045"/>
      <c r="G1159" s="1045"/>
      <c r="H1159" s="1045"/>
      <c r="I1159" s="1045"/>
      <c r="J1159" s="1045"/>
      <c r="K1159" s="1045"/>
      <c r="L1159" s="1045"/>
      <c r="M1159" s="1045"/>
    </row>
    <row r="1160" spans="1:13" x14ac:dyDescent="0.2">
      <c r="A1160" s="693">
        <v>1156</v>
      </c>
      <c r="B1160" s="749" t="str">
        <f t="shared" si="18"/>
        <v>Sheet piling of iron or steel, whether or not drilled, punched or made from assembled elements; welded angles, shapes and sections, of iron or steel</v>
      </c>
      <c r="C1160" s="749" t="s">
        <v>2491</v>
      </c>
      <c r="D1160" s="1045"/>
      <c r="E1160" s="1045"/>
      <c r="F1160" s="1045"/>
      <c r="G1160" s="1045"/>
      <c r="H1160" s="1045"/>
      <c r="I1160" s="1045"/>
      <c r="J1160" s="1045"/>
      <c r="K1160" s="1045"/>
      <c r="L1160" s="1045"/>
      <c r="M1160" s="1045"/>
    </row>
    <row r="1161" spans="1:13" x14ac:dyDescent="0.2">
      <c r="A1161" s="693">
        <v>1157</v>
      </c>
      <c r="B1161" s="749" t="str">
        <f t="shared" si="18"/>
        <v>Sheet piling of iron or steel, whether or not drilled, punched or made from assembled elements</v>
      </c>
      <c r="C1161" s="749" t="s">
        <v>2493</v>
      </c>
      <c r="D1161" s="1045"/>
      <c r="E1161" s="1045"/>
      <c r="F1161" s="1045"/>
      <c r="G1161" s="1045"/>
      <c r="H1161" s="1045"/>
      <c r="I1161" s="1045"/>
      <c r="J1161" s="1045"/>
      <c r="K1161" s="1045"/>
      <c r="L1161" s="1045"/>
      <c r="M1161" s="1045"/>
    </row>
    <row r="1162" spans="1:13" x14ac:dyDescent="0.2">
      <c r="A1162" s="693">
        <v>1158</v>
      </c>
      <c r="B1162" s="749" t="str">
        <f t="shared" si="18"/>
        <v>Angles, shapes and sections, of iron or steel, welded</v>
      </c>
      <c r="C1162" s="749" t="s">
        <v>2495</v>
      </c>
      <c r="D1162" s="1045"/>
      <c r="E1162" s="1045"/>
      <c r="F1162" s="1045"/>
      <c r="G1162" s="1045"/>
      <c r="H1162" s="1045"/>
      <c r="I1162" s="1045"/>
      <c r="J1162" s="1045"/>
      <c r="K1162" s="1045"/>
      <c r="L1162" s="1045"/>
      <c r="M1162" s="1045"/>
    </row>
    <row r="1163" spans="1:13" x14ac:dyDescent="0.2">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2497</v>
      </c>
      <c r="D1163" s="1045"/>
      <c r="E1163" s="1045"/>
      <c r="F1163" s="1045"/>
      <c r="G1163" s="1045"/>
      <c r="H1163" s="1045"/>
      <c r="I1163" s="1045"/>
      <c r="J1163" s="1045"/>
      <c r="K1163" s="1045"/>
      <c r="L1163" s="1045"/>
      <c r="M1163" s="1045"/>
    </row>
    <row r="1164" spans="1:13" x14ac:dyDescent="0.2">
      <c r="A1164" s="693">
        <v>1160</v>
      </c>
      <c r="B1164" s="749" t="str">
        <f t="shared" si="19"/>
        <v>Rails of iron or steel, for railway or tramway track (excl. check-rails)</v>
      </c>
      <c r="C1164" s="749" t="s">
        <v>2499</v>
      </c>
      <c r="D1164" s="1045"/>
      <c r="E1164" s="1045"/>
      <c r="F1164" s="1045"/>
      <c r="G1164" s="1045"/>
      <c r="H1164" s="1045"/>
      <c r="I1164" s="1045"/>
      <c r="J1164" s="1045"/>
      <c r="K1164" s="1045"/>
      <c r="L1164" s="1045"/>
      <c r="M1164" s="1045"/>
    </row>
    <row r="1165" spans="1:13" x14ac:dyDescent="0.2">
      <c r="A1165" s="693">
        <v>1161</v>
      </c>
      <c r="B1165" s="749" t="str">
        <f t="shared" si="19"/>
        <v>Current-conducting rails of iron or steel, with parts of non-ferrous metal, for railway or tramway track (excl. check-rails)</v>
      </c>
      <c r="C1165" s="749" t="s">
        <v>2501</v>
      </c>
      <c r="D1165" s="1045"/>
      <c r="E1165" s="1045"/>
      <c r="F1165" s="1045"/>
      <c r="G1165" s="1045"/>
      <c r="H1165" s="1045"/>
      <c r="I1165" s="1045"/>
      <c r="J1165" s="1045"/>
      <c r="K1165" s="1045"/>
      <c r="L1165" s="1045"/>
      <c r="M1165" s="1045"/>
    </row>
    <row r="1166" spans="1:13" x14ac:dyDescent="0.2">
      <c r="A1166" s="693">
        <v>1162</v>
      </c>
      <c r="B1166" s="749" t="str">
        <f t="shared" si="19"/>
        <v>Vignole rails of iron or steel, for railway or tramway track, new, of a weight of &gt;= 36 kg/m</v>
      </c>
      <c r="C1166" s="749" t="s">
        <v>2503</v>
      </c>
      <c r="D1166" s="1045"/>
      <c r="E1166" s="1045"/>
      <c r="F1166" s="1045"/>
      <c r="G1166" s="1045"/>
      <c r="H1166" s="1045"/>
      <c r="I1166" s="1045"/>
      <c r="J1166" s="1045"/>
      <c r="K1166" s="1045"/>
      <c r="L1166" s="1045"/>
      <c r="M1166" s="1045"/>
    </row>
    <row r="1167" spans="1:13" x14ac:dyDescent="0.2">
      <c r="A1167" s="693">
        <v>1163</v>
      </c>
      <c r="B1167" s="749" t="str">
        <f t="shared" si="19"/>
        <v>Vignole rails of iron or steel, for railway or tramway track, new, of a weight of &lt; 36 kg/m</v>
      </c>
      <c r="C1167" s="749" t="s">
        <v>2505</v>
      </c>
      <c r="D1167" s="1045"/>
      <c r="E1167" s="1045"/>
      <c r="F1167" s="1045"/>
      <c r="G1167" s="1045"/>
      <c r="H1167" s="1045"/>
      <c r="I1167" s="1045"/>
      <c r="J1167" s="1045"/>
      <c r="K1167" s="1045"/>
      <c r="L1167" s="1045"/>
      <c r="M1167" s="1045"/>
    </row>
    <row r="1168" spans="1:13" x14ac:dyDescent="0.2">
      <c r="A1168" s="693">
        <v>1164</v>
      </c>
      <c r="B1168" s="749" t="str">
        <f t="shared" si="19"/>
        <v>Grooved rails of iron or steel, for railway or tramway track, new</v>
      </c>
      <c r="C1168" s="749" t="s">
        <v>2507</v>
      </c>
      <c r="D1168" s="1045"/>
      <c r="E1168" s="1045"/>
      <c r="F1168" s="1045"/>
      <c r="G1168" s="1045"/>
      <c r="H1168" s="1045"/>
      <c r="I1168" s="1045"/>
      <c r="J1168" s="1045"/>
      <c r="K1168" s="1045"/>
      <c r="L1168" s="1045"/>
      <c r="M1168" s="1045"/>
    </row>
    <row r="1169" spans="1:13" x14ac:dyDescent="0.2">
      <c r="A1169" s="693">
        <v>1165</v>
      </c>
      <c r="B1169" s="749" t="str">
        <f t="shared" si="19"/>
        <v>Rails of iron or steel, for railway or tramway track, new (excl. vignole rails, grooved rails, and current-conducting rails with parts of non-ferrous metal)</v>
      </c>
      <c r="C1169" s="749" t="s">
        <v>2509</v>
      </c>
      <c r="D1169" s="1045"/>
      <c r="E1169" s="1045"/>
      <c r="F1169" s="1045"/>
      <c r="G1169" s="1045"/>
      <c r="H1169" s="1045"/>
      <c r="I1169" s="1045"/>
      <c r="J1169" s="1045"/>
      <c r="K1169" s="1045"/>
      <c r="L1169" s="1045"/>
      <c r="M1169" s="1045"/>
    </row>
    <row r="1170" spans="1:13" x14ac:dyDescent="0.2">
      <c r="A1170" s="693">
        <v>1166</v>
      </c>
      <c r="B1170" s="749" t="str">
        <f t="shared" si="19"/>
        <v>Rails of iron or steel, for railway or tramway track, used (excl. current-conducting rails with parts of non-ferrous metal)</v>
      </c>
      <c r="C1170" s="749" t="s">
        <v>2511</v>
      </c>
      <c r="D1170" s="1045"/>
      <c r="E1170" s="1045"/>
      <c r="F1170" s="1045"/>
      <c r="G1170" s="1045"/>
      <c r="H1170" s="1045"/>
      <c r="I1170" s="1045"/>
      <c r="J1170" s="1045"/>
      <c r="K1170" s="1045"/>
      <c r="L1170" s="1045"/>
      <c r="M1170" s="1045"/>
    </row>
    <row r="1171" spans="1:13" x14ac:dyDescent="0.2">
      <c r="A1171" s="693">
        <v>1167</v>
      </c>
      <c r="B1171" s="749" t="str">
        <f t="shared" si="19"/>
        <v>Switch blades, crossing frogs, point rods and other crossing pieces, for railway or tramway track, of iron or steel</v>
      </c>
      <c r="C1171" s="749" t="s">
        <v>2513</v>
      </c>
      <c r="D1171" s="1045"/>
      <c r="E1171" s="1045"/>
      <c r="F1171" s="1045"/>
      <c r="G1171" s="1045"/>
      <c r="H1171" s="1045"/>
      <c r="I1171" s="1045"/>
      <c r="J1171" s="1045"/>
      <c r="K1171" s="1045"/>
      <c r="L1171" s="1045"/>
      <c r="M1171" s="1045"/>
    </row>
    <row r="1172" spans="1:13" x14ac:dyDescent="0.2">
      <c r="A1172" s="693">
        <v>1168</v>
      </c>
      <c r="B1172" s="749" t="str">
        <f t="shared" si="19"/>
        <v>Fish-plates and sole plates of iron or steel, for railways or tramways</v>
      </c>
      <c r="C1172" s="749" t="s">
        <v>2515</v>
      </c>
      <c r="D1172" s="1045"/>
      <c r="E1172" s="1045"/>
      <c r="F1172" s="1045"/>
      <c r="G1172" s="1045"/>
      <c r="H1172" s="1045"/>
      <c r="I1172" s="1045"/>
      <c r="J1172" s="1045"/>
      <c r="K1172" s="1045"/>
      <c r="L1172" s="1045"/>
      <c r="M1172" s="1045"/>
    </row>
    <row r="1173" spans="1:13" x14ac:dyDescent="0.2">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2517</v>
      </c>
      <c r="D1173" s="1045"/>
      <c r="E1173" s="1045"/>
      <c r="F1173" s="1045"/>
      <c r="G1173" s="1045"/>
      <c r="H1173" s="1045"/>
      <c r="I1173" s="1045"/>
      <c r="J1173" s="1045"/>
      <c r="K1173" s="1045"/>
      <c r="L1173" s="1045"/>
      <c r="M1173" s="1045"/>
    </row>
    <row r="1174" spans="1:13" x14ac:dyDescent="0.2">
      <c r="A1174" s="693">
        <v>1170</v>
      </c>
      <c r="B1174" s="749" t="str">
        <f t="shared" si="19"/>
        <v>Tubes, pipes and hollow profiles, of cast iron</v>
      </c>
      <c r="C1174" s="749" t="s">
        <v>2519</v>
      </c>
      <c r="D1174" s="1045"/>
      <c r="E1174" s="1045"/>
      <c r="F1174" s="1045"/>
      <c r="G1174" s="1045"/>
      <c r="H1174" s="1045"/>
      <c r="I1174" s="1045"/>
      <c r="J1174" s="1045"/>
      <c r="K1174" s="1045"/>
      <c r="L1174" s="1045"/>
      <c r="M1174" s="1045"/>
    </row>
    <row r="1175" spans="1:13" x14ac:dyDescent="0.2">
      <c r="A1175" s="693">
        <v>1171</v>
      </c>
      <c r="B1175" s="749" t="str">
        <f t="shared" si="19"/>
        <v>Tubes and pipes of a kind used in pressure systems, of cast iron</v>
      </c>
      <c r="C1175" s="749" t="s">
        <v>2521</v>
      </c>
      <c r="D1175" s="1045"/>
      <c r="E1175" s="1045"/>
      <c r="F1175" s="1045"/>
      <c r="G1175" s="1045"/>
      <c r="H1175" s="1045"/>
      <c r="I1175" s="1045"/>
      <c r="J1175" s="1045"/>
      <c r="K1175" s="1045"/>
      <c r="L1175" s="1045"/>
      <c r="M1175" s="1045"/>
    </row>
    <row r="1176" spans="1:13" x14ac:dyDescent="0.2">
      <c r="A1176" s="693">
        <v>1172</v>
      </c>
      <c r="B1176" s="749" t="str">
        <f t="shared" si="19"/>
        <v>Tubes, pipes and hollow profiles, of cast iron (excl. products of a kind used in pressure systems)</v>
      </c>
      <c r="C1176" s="749" t="s">
        <v>2523</v>
      </c>
      <c r="D1176" s="1045"/>
      <c r="E1176" s="1045"/>
      <c r="F1176" s="1045"/>
      <c r="G1176" s="1045"/>
      <c r="H1176" s="1045"/>
      <c r="I1176" s="1045"/>
      <c r="J1176" s="1045"/>
      <c r="K1176" s="1045"/>
      <c r="L1176" s="1045"/>
      <c r="M1176" s="1045"/>
    </row>
    <row r="1177" spans="1:13" x14ac:dyDescent="0.2">
      <c r="A1177" s="693">
        <v>1173</v>
      </c>
      <c r="B1177" s="749" t="str">
        <f t="shared" si="19"/>
        <v>Tubes, pipes and hollow profiles, seamless, of iron or steel (excl. products of cast iron)</v>
      </c>
      <c r="C1177" s="749" t="s">
        <v>2525</v>
      </c>
      <c r="D1177" s="1045"/>
      <c r="E1177" s="1045"/>
      <c r="F1177" s="1045"/>
      <c r="G1177" s="1045"/>
      <c r="H1177" s="1045"/>
      <c r="I1177" s="1045"/>
      <c r="J1177" s="1045"/>
      <c r="K1177" s="1045"/>
      <c r="L1177" s="1045"/>
      <c r="M1177" s="1045"/>
    </row>
    <row r="1178" spans="1:13" x14ac:dyDescent="0.2">
      <c r="A1178" s="693">
        <v>1174</v>
      </c>
      <c r="B1178" s="749" t="str">
        <f t="shared" si="19"/>
        <v>Line pipe of a kind used for oil or gas pipelines, seamless, of stainless steel</v>
      </c>
      <c r="C1178" s="749" t="s">
        <v>2527</v>
      </c>
      <c r="D1178" s="1045"/>
      <c r="E1178" s="1045"/>
      <c r="F1178" s="1045"/>
      <c r="G1178" s="1045"/>
      <c r="H1178" s="1045"/>
      <c r="I1178" s="1045"/>
      <c r="J1178" s="1045"/>
      <c r="K1178" s="1045"/>
      <c r="L1178" s="1045"/>
      <c r="M1178" s="1045"/>
    </row>
    <row r="1179" spans="1:13" x14ac:dyDescent="0.2">
      <c r="A1179" s="693">
        <v>1175</v>
      </c>
      <c r="B1179" s="749" t="str">
        <f t="shared" si="19"/>
        <v>Line pipe of a kind used for oil or gas pipelines, seamless, of iron or steel (excl. products of stainless steel or of cast iron)</v>
      </c>
      <c r="C1179" s="749" t="s">
        <v>2529</v>
      </c>
      <c r="D1179" s="1045"/>
      <c r="E1179" s="1045"/>
      <c r="F1179" s="1045"/>
      <c r="G1179" s="1045"/>
      <c r="H1179" s="1045"/>
      <c r="I1179" s="1045"/>
      <c r="J1179" s="1045"/>
      <c r="K1179" s="1045"/>
      <c r="L1179" s="1045"/>
      <c r="M1179" s="1045"/>
    </row>
    <row r="1180" spans="1:13" x14ac:dyDescent="0.2">
      <c r="A1180" s="693">
        <v>1176</v>
      </c>
      <c r="B1180" s="749" t="str">
        <f t="shared" si="19"/>
        <v>Line pipe of a kind used for oil or gas pipelines, seamless, of iron or steel, of an external diameter of &lt;= 168,3 mm (excl. products of stainless steel or of cast iron)</v>
      </c>
      <c r="C1180" s="749" t="s">
        <v>2531</v>
      </c>
      <c r="D1180" s="1045"/>
      <c r="E1180" s="1045"/>
      <c r="F1180" s="1045"/>
      <c r="G1180" s="1045"/>
      <c r="H1180" s="1045"/>
      <c r="I1180" s="1045"/>
      <c r="J1180" s="1045"/>
      <c r="K1180" s="1045"/>
      <c r="L1180" s="1045"/>
      <c r="M1180" s="1045"/>
    </row>
    <row r="1181" spans="1:13" x14ac:dyDescent="0.2">
      <c r="A1181" s="693">
        <v>1177</v>
      </c>
      <c r="B1181" s="749" t="str">
        <f t="shared" si="19"/>
        <v>Line pipe of a kind used for oil or gas pipelines, seamless, of iron or steel, of an external diameter of &gt; 168,3 mm but &lt;= 406,4 mm (excl. products of stainless steel or of cast iron)</v>
      </c>
      <c r="C1181" s="749" t="s">
        <v>2533</v>
      </c>
      <c r="D1181" s="1045"/>
      <c r="E1181" s="1045"/>
      <c r="F1181" s="1045"/>
      <c r="G1181" s="1045"/>
      <c r="H1181" s="1045"/>
      <c r="I1181" s="1045"/>
      <c r="J1181" s="1045"/>
      <c r="K1181" s="1045"/>
      <c r="L1181" s="1045"/>
      <c r="M1181" s="1045"/>
    </row>
    <row r="1182" spans="1:13" x14ac:dyDescent="0.2">
      <c r="A1182" s="693">
        <v>1178</v>
      </c>
      <c r="B1182" s="749" t="str">
        <f t="shared" si="19"/>
        <v>Line pipe of a kind used for oil or gas pipelines, seamless, of iron or steel, of an external diameter of &gt; 406,4 mm (excl. products of stainless steel or of cast iron)</v>
      </c>
      <c r="C1182" s="749" t="s">
        <v>2535</v>
      </c>
      <c r="D1182" s="1045"/>
      <c r="E1182" s="1045"/>
      <c r="F1182" s="1045"/>
      <c r="G1182" s="1045"/>
      <c r="H1182" s="1045"/>
      <c r="I1182" s="1045"/>
      <c r="J1182" s="1045"/>
      <c r="K1182" s="1045"/>
      <c r="L1182" s="1045"/>
      <c r="M1182" s="1045"/>
    </row>
    <row r="1183" spans="1:13" x14ac:dyDescent="0.2">
      <c r="A1183" s="693">
        <v>1179</v>
      </c>
      <c r="B1183" s="749" t="str">
        <f t="shared" si="19"/>
        <v>Drill pipe, seamless, of stainless steel, of a kind used in drilling for oil or gas</v>
      </c>
      <c r="C1183" s="749" t="s">
        <v>2537</v>
      </c>
      <c r="D1183" s="1045"/>
      <c r="E1183" s="1045"/>
      <c r="F1183" s="1045"/>
      <c r="G1183" s="1045"/>
      <c r="H1183" s="1045"/>
      <c r="I1183" s="1045"/>
      <c r="J1183" s="1045"/>
      <c r="K1183" s="1045"/>
      <c r="L1183" s="1045"/>
      <c r="M1183" s="1045"/>
    </row>
    <row r="1184" spans="1:13" x14ac:dyDescent="0.2">
      <c r="A1184" s="693">
        <v>1180</v>
      </c>
      <c r="B1184" s="749" t="str">
        <f t="shared" si="19"/>
        <v>Drill pipe, seamless, of a kind used in drilling for oil or gas, of iron or steel (excl. products of stainless steel or of cast iron)</v>
      </c>
      <c r="C1184" s="749" t="s">
        <v>2539</v>
      </c>
      <c r="D1184" s="1045"/>
      <c r="E1184" s="1045"/>
      <c r="F1184" s="1045"/>
      <c r="G1184" s="1045"/>
      <c r="H1184" s="1045"/>
      <c r="I1184" s="1045"/>
      <c r="J1184" s="1045"/>
      <c r="K1184" s="1045"/>
      <c r="L1184" s="1045"/>
      <c r="M1184" s="1045"/>
    </row>
    <row r="1185" spans="1:13" x14ac:dyDescent="0.2">
      <c r="A1185" s="693">
        <v>1181</v>
      </c>
      <c r="B1185" s="749" t="str">
        <f t="shared" si="19"/>
        <v>Casing and tubing, seamless, of a kind used for drilling for oil or gas, of stainless steel</v>
      </c>
      <c r="C1185" s="749" t="s">
        <v>2541</v>
      </c>
      <c r="D1185" s="1045"/>
      <c r="E1185" s="1045"/>
      <c r="F1185" s="1045"/>
      <c r="G1185" s="1045"/>
      <c r="H1185" s="1045"/>
      <c r="I1185" s="1045"/>
      <c r="J1185" s="1045"/>
      <c r="K1185" s="1045"/>
      <c r="L1185" s="1045"/>
      <c r="M1185" s="1045"/>
    </row>
    <row r="1186" spans="1:13" x14ac:dyDescent="0.2">
      <c r="A1186" s="693">
        <v>1182</v>
      </c>
      <c r="B1186" s="749" t="str">
        <f t="shared" si="19"/>
        <v>Casing and tubing, seamless, of iron or steel, of a kind used in drilling for oil or gas (excl. products of cast iron)</v>
      </c>
      <c r="C1186" s="749" t="s">
        <v>2543</v>
      </c>
      <c r="D1186" s="1045"/>
      <c r="E1186" s="1045"/>
      <c r="F1186" s="1045"/>
      <c r="G1186" s="1045"/>
      <c r="H1186" s="1045"/>
      <c r="I1186" s="1045"/>
      <c r="J1186" s="1045"/>
      <c r="K1186" s="1045"/>
      <c r="L1186" s="1045"/>
      <c r="M1186" s="1045"/>
    </row>
    <row r="1187" spans="1:13" x14ac:dyDescent="0.2">
      <c r="A1187" s="693">
        <v>1183</v>
      </c>
      <c r="B1187" s="749" t="str">
        <f t="shared" si="19"/>
        <v>Casing and tubing of a kind used for drilling for oil or gas, seamless, of iron or steel, of an external diameter &lt;= 168,3 mm (excl. products of cast iron)</v>
      </c>
      <c r="C1187" s="749" t="s">
        <v>2545</v>
      </c>
      <c r="D1187" s="1045"/>
      <c r="E1187" s="1045"/>
      <c r="F1187" s="1045"/>
      <c r="G1187" s="1045"/>
      <c r="H1187" s="1045"/>
      <c r="I1187" s="1045"/>
      <c r="J1187" s="1045"/>
      <c r="K1187" s="1045"/>
      <c r="L1187" s="1045"/>
      <c r="M1187" s="1045"/>
    </row>
    <row r="1188" spans="1:13" x14ac:dyDescent="0.2">
      <c r="A1188" s="693">
        <v>1184</v>
      </c>
      <c r="B1188" s="749" t="str">
        <f t="shared" si="19"/>
        <v>Casing and tubing of a kind used for drilling for oil or gas, seamless, of iron or steel, of an external diameter &gt; 168,3 mm, but &lt;= 406,4 mm (excl. products of cast iron)</v>
      </c>
      <c r="C1188" s="749" t="s">
        <v>2547</v>
      </c>
      <c r="D1188" s="1045"/>
      <c r="E1188" s="1045"/>
      <c r="F1188" s="1045"/>
      <c r="G1188" s="1045"/>
      <c r="H1188" s="1045"/>
      <c r="I1188" s="1045"/>
      <c r="J1188" s="1045"/>
      <c r="K1188" s="1045"/>
      <c r="L1188" s="1045"/>
      <c r="M1188" s="1045"/>
    </row>
    <row r="1189" spans="1:13" x14ac:dyDescent="0.2">
      <c r="A1189" s="693">
        <v>1185</v>
      </c>
      <c r="B1189" s="749" t="str">
        <f t="shared" si="19"/>
        <v>Casing and tubing of a kind used for drilling for oil or gas, seamless, of iron or steel, of an external diameter &gt; 406,4 mm (excl. products of cast iron)</v>
      </c>
      <c r="C1189" s="749" t="s">
        <v>2549</v>
      </c>
      <c r="D1189" s="1045"/>
      <c r="E1189" s="1045"/>
      <c r="F1189" s="1045"/>
      <c r="G1189" s="1045"/>
      <c r="H1189" s="1045"/>
      <c r="I1189" s="1045"/>
      <c r="J1189" s="1045"/>
      <c r="K1189" s="1045"/>
      <c r="L1189" s="1045"/>
      <c r="M1189" s="1045"/>
    </row>
    <row r="1190" spans="1:13" x14ac:dyDescent="0.2">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2551</v>
      </c>
      <c r="D1190" s="1045"/>
      <c r="E1190" s="1045"/>
      <c r="F1190" s="1045"/>
      <c r="G1190" s="1045"/>
      <c r="H1190" s="1045"/>
      <c r="I1190" s="1045"/>
      <c r="J1190" s="1045"/>
      <c r="K1190" s="1045"/>
      <c r="L1190" s="1045"/>
      <c r="M1190" s="1045"/>
    </row>
    <row r="1191" spans="1:13" x14ac:dyDescent="0.2">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2553</v>
      </c>
      <c r="D1191" s="1045"/>
      <c r="E1191" s="1045"/>
      <c r="F1191" s="1045"/>
      <c r="G1191" s="1045"/>
      <c r="H1191" s="1045"/>
      <c r="I1191" s="1045"/>
      <c r="J1191" s="1045"/>
      <c r="K1191" s="1045"/>
      <c r="L1191" s="1045"/>
      <c r="M1191" s="1045"/>
    </row>
    <row r="1192" spans="1:13" x14ac:dyDescent="0.2">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2555</v>
      </c>
      <c r="D1192" s="1045"/>
      <c r="E1192" s="1045"/>
      <c r="F1192" s="1045"/>
      <c r="G1192" s="1045"/>
      <c r="H1192" s="1045"/>
      <c r="I1192" s="1045"/>
      <c r="J1192" s="1045"/>
      <c r="K1192" s="1045"/>
      <c r="L1192" s="1045"/>
      <c r="M1192" s="1045"/>
    </row>
    <row r="1193" spans="1:13" x14ac:dyDescent="0.2">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2557</v>
      </c>
      <c r="D1193" s="1045"/>
      <c r="E1193" s="1045"/>
      <c r="F1193" s="1045"/>
      <c r="G1193" s="1045"/>
      <c r="H1193" s="1045"/>
      <c r="I1193" s="1045"/>
      <c r="J1193" s="1045"/>
      <c r="K1193" s="1045"/>
      <c r="L1193" s="1045"/>
      <c r="M1193" s="1045"/>
    </row>
    <row r="1194" spans="1:13" x14ac:dyDescent="0.2">
      <c r="A1194" s="693">
        <v>1190</v>
      </c>
      <c r="B1194" s="749" t="str">
        <f t="shared" si="19"/>
        <v>Threaded or threadable tubes "gas pipe", seamless, of iron or non-alloy steel (excl. of cast iron)</v>
      </c>
      <c r="C1194" s="749" t="s">
        <v>2559</v>
      </c>
      <c r="D1194" s="1045"/>
      <c r="E1194" s="1045"/>
      <c r="F1194" s="1045"/>
      <c r="G1194" s="1045"/>
      <c r="H1194" s="1045"/>
      <c r="I1194" s="1045"/>
      <c r="J1194" s="1045"/>
      <c r="K1194" s="1045"/>
      <c r="L1194" s="1045"/>
      <c r="M1194" s="1045"/>
    </row>
    <row r="1195" spans="1:13" x14ac:dyDescent="0.2">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2561</v>
      </c>
      <c r="D1195" s="1045"/>
      <c r="E1195" s="1045"/>
      <c r="F1195" s="1045"/>
      <c r="G1195" s="1045"/>
      <c r="H1195" s="1045"/>
      <c r="I1195" s="1045"/>
      <c r="J1195" s="1045"/>
      <c r="K1195" s="1045"/>
      <c r="L1195" s="1045"/>
      <c r="M1195" s="1045"/>
    </row>
    <row r="1196" spans="1:13" x14ac:dyDescent="0.2">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2563</v>
      </c>
      <c r="D1196" s="1045"/>
      <c r="E1196" s="1045"/>
      <c r="F1196" s="1045"/>
      <c r="G1196" s="1045"/>
      <c r="H1196" s="1045"/>
      <c r="I1196" s="1045"/>
      <c r="J1196" s="1045"/>
      <c r="K1196" s="1045"/>
      <c r="L1196" s="1045"/>
      <c r="M1196" s="1045"/>
    </row>
    <row r="1197" spans="1:13" x14ac:dyDescent="0.2">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2565</v>
      </c>
      <c r="D1197" s="1045"/>
      <c r="E1197" s="1045"/>
      <c r="F1197" s="1045"/>
      <c r="G1197" s="1045"/>
      <c r="H1197" s="1045"/>
      <c r="I1197" s="1045"/>
      <c r="J1197" s="1045"/>
      <c r="K1197" s="1045"/>
      <c r="L1197" s="1045"/>
      <c r="M1197" s="1045"/>
    </row>
    <row r="1198" spans="1:13" x14ac:dyDescent="0.2">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2567</v>
      </c>
      <c r="D1198" s="1045"/>
      <c r="E1198" s="1045"/>
      <c r="F1198" s="1045"/>
      <c r="G1198" s="1045"/>
      <c r="H1198" s="1045"/>
      <c r="I1198" s="1045"/>
      <c r="J1198" s="1045"/>
      <c r="K1198" s="1045"/>
      <c r="L1198" s="1045"/>
      <c r="M1198" s="1045"/>
    </row>
    <row r="1199" spans="1:13" x14ac:dyDescent="0.2">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2569</v>
      </c>
      <c r="D1199" s="1045"/>
      <c r="E1199" s="1045"/>
      <c r="F1199" s="1045"/>
      <c r="G1199" s="1045"/>
      <c r="H1199" s="1045"/>
      <c r="I1199" s="1045"/>
      <c r="J1199" s="1045"/>
      <c r="K1199" s="1045"/>
      <c r="L1199" s="1045"/>
      <c r="M1199" s="1045"/>
    </row>
    <row r="1200" spans="1:13" x14ac:dyDescent="0.2">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2571</v>
      </c>
      <c r="D1200" s="1045"/>
      <c r="E1200" s="1045"/>
      <c r="F1200" s="1045"/>
      <c r="G1200" s="1045"/>
      <c r="H1200" s="1045"/>
      <c r="I1200" s="1045"/>
      <c r="J1200" s="1045"/>
      <c r="K1200" s="1045"/>
      <c r="L1200" s="1045"/>
      <c r="M1200" s="1045"/>
    </row>
    <row r="1201" spans="1:13" x14ac:dyDescent="0.2">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2573</v>
      </c>
      <c r="D1201" s="1045"/>
      <c r="E1201" s="1045"/>
      <c r="F1201" s="1045"/>
      <c r="G1201" s="1045"/>
      <c r="H1201" s="1045"/>
      <c r="I1201" s="1045"/>
      <c r="J1201" s="1045"/>
      <c r="K1201" s="1045"/>
      <c r="L1201" s="1045"/>
      <c r="M1201" s="1045"/>
    </row>
    <row r="1202" spans="1:13" x14ac:dyDescent="0.2">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2575</v>
      </c>
      <c r="D1202" s="1045"/>
      <c r="E1202" s="1045"/>
      <c r="F1202" s="1045"/>
      <c r="G1202" s="1045"/>
      <c r="H1202" s="1045"/>
      <c r="I1202" s="1045"/>
      <c r="J1202" s="1045"/>
      <c r="K1202" s="1045"/>
      <c r="L1202" s="1045"/>
      <c r="M1202" s="1045"/>
    </row>
    <row r="1203" spans="1:13" x14ac:dyDescent="0.2">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2577</v>
      </c>
      <c r="D1203" s="1045"/>
      <c r="E1203" s="1045"/>
      <c r="F1203" s="1045"/>
      <c r="G1203" s="1045"/>
      <c r="H1203" s="1045"/>
      <c r="I1203" s="1045"/>
      <c r="J1203" s="1045"/>
      <c r="K1203" s="1045"/>
      <c r="L1203" s="1045"/>
      <c r="M1203" s="1045"/>
    </row>
    <row r="1204" spans="1:13" x14ac:dyDescent="0.2">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2579</v>
      </c>
      <c r="D1204" s="1045"/>
      <c r="E1204" s="1045"/>
      <c r="F1204" s="1045"/>
      <c r="G1204" s="1045"/>
      <c r="H1204" s="1045"/>
      <c r="I1204" s="1045"/>
      <c r="J1204" s="1045"/>
      <c r="K1204" s="1045"/>
      <c r="L1204" s="1045"/>
      <c r="M1204" s="1045"/>
    </row>
    <row r="1205" spans="1:13" x14ac:dyDescent="0.2">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2581</v>
      </c>
      <c r="D1205" s="1045"/>
      <c r="E1205" s="1045"/>
      <c r="F1205" s="1045"/>
      <c r="G1205" s="1045"/>
      <c r="H1205" s="1045"/>
      <c r="I1205" s="1045"/>
      <c r="J1205" s="1045"/>
      <c r="K1205" s="1045"/>
      <c r="L1205" s="1045"/>
      <c r="M1205" s="1045"/>
    </row>
    <row r="1206" spans="1:13" x14ac:dyDescent="0.2">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2583</v>
      </c>
      <c r="D1206" s="1045"/>
      <c r="E1206" s="1045"/>
      <c r="F1206" s="1045"/>
      <c r="G1206" s="1045"/>
      <c r="H1206" s="1045"/>
      <c r="I1206" s="1045"/>
      <c r="J1206" s="1045"/>
      <c r="K1206" s="1045"/>
      <c r="L1206" s="1045"/>
      <c r="M1206" s="1045"/>
    </row>
    <row r="1207" spans="1:13" x14ac:dyDescent="0.2">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2585</v>
      </c>
      <c r="D1207" s="1045"/>
      <c r="E1207" s="1045"/>
      <c r="F1207" s="1045"/>
      <c r="G1207" s="1045"/>
      <c r="H1207" s="1045"/>
      <c r="I1207" s="1045"/>
      <c r="J1207" s="1045"/>
      <c r="K1207" s="1045"/>
      <c r="L1207" s="1045"/>
      <c r="M1207" s="1045"/>
    </row>
    <row r="1208" spans="1:13" x14ac:dyDescent="0.2">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2587</v>
      </c>
      <c r="D1208" s="1045"/>
      <c r="E1208" s="1045"/>
      <c r="F1208" s="1045"/>
      <c r="G1208" s="1045"/>
      <c r="H1208" s="1045"/>
      <c r="I1208" s="1045"/>
      <c r="J1208" s="1045"/>
      <c r="K1208" s="1045"/>
      <c r="L1208" s="1045"/>
      <c r="M1208" s="1045"/>
    </row>
    <row r="1209" spans="1:13" x14ac:dyDescent="0.2">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2589</v>
      </c>
      <c r="D1209" s="1045"/>
      <c r="E1209" s="1045"/>
      <c r="F1209" s="1045"/>
      <c r="G1209" s="1045"/>
      <c r="H1209" s="1045"/>
      <c r="I1209" s="1045"/>
      <c r="J1209" s="1045"/>
      <c r="K1209" s="1045"/>
      <c r="L1209" s="1045"/>
      <c r="M1209" s="1045"/>
    </row>
    <row r="1210" spans="1:13" x14ac:dyDescent="0.2">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2591</v>
      </c>
      <c r="D1210" s="1045"/>
      <c r="E1210" s="1045"/>
      <c r="F1210" s="1045"/>
      <c r="G1210" s="1045"/>
      <c r="H1210" s="1045"/>
      <c r="I1210" s="1045"/>
      <c r="J1210" s="1045"/>
      <c r="K1210" s="1045"/>
      <c r="L1210" s="1045"/>
      <c r="M1210" s="1045"/>
    </row>
    <row r="1211" spans="1:13" x14ac:dyDescent="0.2">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2593</v>
      </c>
      <c r="D1211" s="1045"/>
      <c r="E1211" s="1045"/>
      <c r="F1211" s="1045"/>
      <c r="G1211" s="1045"/>
      <c r="H1211" s="1045"/>
      <c r="I1211" s="1045"/>
      <c r="J1211" s="1045"/>
      <c r="K1211" s="1045"/>
      <c r="L1211" s="1045"/>
      <c r="M1211" s="1045"/>
    </row>
    <row r="1212" spans="1:13" x14ac:dyDescent="0.2">
      <c r="A1212" s="693">
        <v>1208</v>
      </c>
      <c r="B1212" s="749" t="str">
        <f t="shared" si="19"/>
        <v>Tubes, pipes and hollow profiles, seamless, of non-circular cross-section, of iron or steel (excl. products of cast iron)</v>
      </c>
      <c r="C1212" s="749" t="s">
        <v>2595</v>
      </c>
      <c r="D1212" s="1045"/>
      <c r="E1212" s="1045"/>
      <c r="F1212" s="1045"/>
      <c r="G1212" s="1045"/>
      <c r="H1212" s="1045"/>
      <c r="I1212" s="1045"/>
      <c r="J1212" s="1045"/>
      <c r="K1212" s="1045"/>
      <c r="L1212" s="1045"/>
      <c r="M1212" s="1045"/>
    </row>
    <row r="1213" spans="1:13" x14ac:dyDescent="0.2">
      <c r="A1213" s="693">
        <v>1209</v>
      </c>
      <c r="B1213" s="749" t="str">
        <f t="shared" si="19"/>
        <v>Tubes and pipes, having circular cross-sections and an external diameter of &gt; 406,4 mm, of flat-rolled products of iron or steel "e.g., welded, riveted or similarly closed"</v>
      </c>
      <c r="C1213" s="749" t="s">
        <v>2597</v>
      </c>
      <c r="D1213" s="1045"/>
      <c r="E1213" s="1045"/>
      <c r="F1213" s="1045"/>
      <c r="G1213" s="1045"/>
      <c r="H1213" s="1045"/>
      <c r="I1213" s="1045"/>
      <c r="J1213" s="1045"/>
      <c r="K1213" s="1045"/>
      <c r="L1213" s="1045"/>
      <c r="M1213" s="1045"/>
    </row>
    <row r="1214" spans="1:13" x14ac:dyDescent="0.2">
      <c r="A1214" s="693">
        <v>1210</v>
      </c>
      <c r="B1214" s="749" t="str">
        <f t="shared" si="19"/>
        <v>Line pipe of a kind used for oil or gas pipelines, having circular cross-sections and an external diameter of &gt; 406,4 mm, of iron or steel, longitudinally submerged arc welded</v>
      </c>
      <c r="C1214" s="749" t="s">
        <v>2599</v>
      </c>
      <c r="D1214" s="1045"/>
      <c r="E1214" s="1045"/>
      <c r="F1214" s="1045"/>
      <c r="G1214" s="1045"/>
      <c r="H1214" s="1045"/>
      <c r="I1214" s="1045"/>
      <c r="J1214" s="1045"/>
      <c r="K1214" s="1045"/>
      <c r="L1214" s="1045"/>
      <c r="M1214" s="1045"/>
    </row>
    <row r="1215" spans="1:13" x14ac:dyDescent="0.2">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2601</v>
      </c>
      <c r="D1215" s="1045"/>
      <c r="E1215" s="1045"/>
      <c r="F1215" s="1045"/>
      <c r="G1215" s="1045"/>
      <c r="H1215" s="1045"/>
      <c r="I1215" s="1045"/>
      <c r="J1215" s="1045"/>
      <c r="K1215" s="1045"/>
      <c r="L1215" s="1045"/>
      <c r="M1215" s="1045"/>
    </row>
    <row r="1216" spans="1:13" x14ac:dyDescent="0.2">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2603</v>
      </c>
      <c r="D1216" s="1045"/>
      <c r="E1216" s="1045"/>
      <c r="F1216" s="1045"/>
      <c r="G1216" s="1045"/>
      <c r="H1216" s="1045"/>
      <c r="I1216" s="1045"/>
      <c r="J1216" s="1045"/>
      <c r="K1216" s="1045"/>
      <c r="L1216" s="1045"/>
      <c r="M1216" s="1045"/>
    </row>
    <row r="1217" spans="1:13" x14ac:dyDescent="0.2">
      <c r="A1217" s="693">
        <v>1213</v>
      </c>
      <c r="B1217" s="749" t="str">
        <f t="shared" si="19"/>
        <v>Casing of a kind used in drilling for oil or gas, having circular cross-sections and an external diameter of &gt; 406,4 mm, of flat-rolled products of iron or steel</v>
      </c>
      <c r="C1217" s="749" t="s">
        <v>2605</v>
      </c>
      <c r="D1217" s="1045"/>
      <c r="E1217" s="1045"/>
      <c r="F1217" s="1045"/>
      <c r="G1217" s="1045"/>
      <c r="H1217" s="1045"/>
      <c r="I1217" s="1045"/>
      <c r="J1217" s="1045"/>
      <c r="K1217" s="1045"/>
      <c r="L1217" s="1045"/>
      <c r="M1217" s="1045"/>
    </row>
    <row r="1218" spans="1:13" x14ac:dyDescent="0.2">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2607</v>
      </c>
      <c r="D1218" s="1045"/>
      <c r="E1218" s="1045"/>
      <c r="F1218" s="1045"/>
      <c r="G1218" s="1045"/>
      <c r="H1218" s="1045"/>
      <c r="I1218" s="1045"/>
      <c r="J1218" s="1045"/>
      <c r="K1218" s="1045"/>
      <c r="L1218" s="1045"/>
      <c r="M1218" s="1045"/>
    </row>
    <row r="1219" spans="1:13" x14ac:dyDescent="0.2">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2609</v>
      </c>
      <c r="D1219" s="1045"/>
      <c r="E1219" s="1045"/>
      <c r="F1219" s="1045"/>
      <c r="G1219" s="1045"/>
      <c r="H1219" s="1045"/>
      <c r="I1219" s="1045"/>
      <c r="J1219" s="1045"/>
      <c r="K1219" s="1045"/>
      <c r="L1219" s="1045"/>
      <c r="M1219" s="1045"/>
    </row>
    <row r="1220" spans="1:13" x14ac:dyDescent="0.2">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2611</v>
      </c>
      <c r="D1220" s="1045"/>
      <c r="E1220" s="1045"/>
      <c r="F1220" s="1045"/>
      <c r="G1220" s="1045"/>
      <c r="H1220" s="1045"/>
      <c r="I1220" s="1045"/>
      <c r="J1220" s="1045"/>
      <c r="K1220" s="1045"/>
      <c r="L1220" s="1045"/>
      <c r="M1220" s="1045"/>
    </row>
    <row r="1221" spans="1:13" x14ac:dyDescent="0.2">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2613</v>
      </c>
      <c r="D1221" s="1045"/>
      <c r="E1221" s="1045"/>
      <c r="F1221" s="1045"/>
      <c r="G1221" s="1045"/>
      <c r="H1221" s="1045"/>
      <c r="I1221" s="1045"/>
      <c r="J1221" s="1045"/>
      <c r="K1221" s="1045"/>
      <c r="L1221" s="1045"/>
      <c r="M1221" s="1045"/>
    </row>
    <row r="1222" spans="1:13" x14ac:dyDescent="0.2">
      <c r="A1222" s="693">
        <v>1218</v>
      </c>
      <c r="B1222" s="749" t="str">
        <f t="shared" si="19"/>
        <v>Line pipe of a kind used for oil or gas pipelines, welded, of flat-rolled products of stainless steel, of an external diameter of &lt;= 406,4 mm</v>
      </c>
      <c r="C1222" s="749" t="s">
        <v>2615</v>
      </c>
      <c r="D1222" s="1045"/>
      <c r="E1222" s="1045"/>
      <c r="F1222" s="1045"/>
      <c r="G1222" s="1045"/>
      <c r="H1222" s="1045"/>
      <c r="I1222" s="1045"/>
      <c r="J1222" s="1045"/>
      <c r="K1222" s="1045"/>
      <c r="L1222" s="1045"/>
      <c r="M1222" s="1045"/>
    </row>
    <row r="1223" spans="1:13" x14ac:dyDescent="0.2">
      <c r="A1223" s="693">
        <v>1219</v>
      </c>
      <c r="B1223" s="749" t="str">
        <f t="shared" si="19"/>
        <v>Line pipe of a kind used for oil or gas pipelines, welded, of flat-rolled products of iron or steel, of an external diameter of &lt;= 406,4 mm (excl. products of stainless steel or of cast iron)</v>
      </c>
      <c r="C1223" s="749" t="s">
        <v>2617</v>
      </c>
      <c r="D1223" s="1045"/>
      <c r="E1223" s="1045"/>
      <c r="F1223" s="1045"/>
      <c r="G1223" s="1045"/>
      <c r="H1223" s="1045"/>
      <c r="I1223" s="1045"/>
      <c r="J1223" s="1045"/>
      <c r="K1223" s="1045"/>
      <c r="L1223" s="1045"/>
      <c r="M1223" s="1045"/>
    </row>
    <row r="1224" spans="1:13" x14ac:dyDescent="0.2">
      <c r="A1224" s="693">
        <v>1220</v>
      </c>
      <c r="B1224" s="749" t="str">
        <f t="shared" si="19"/>
        <v>Casing and tubing of a kind used in drilling for oil or gas, welded, of flat-rolled products of stainless steel, of an external diameter of &lt;= 406,4 mm</v>
      </c>
      <c r="C1224" s="749" t="s">
        <v>2619</v>
      </c>
      <c r="D1224" s="1045"/>
      <c r="E1224" s="1045"/>
      <c r="F1224" s="1045"/>
      <c r="G1224" s="1045"/>
      <c r="H1224" s="1045"/>
      <c r="I1224" s="1045"/>
      <c r="J1224" s="1045"/>
      <c r="K1224" s="1045"/>
      <c r="L1224" s="1045"/>
      <c r="M1224" s="1045"/>
    </row>
    <row r="1225" spans="1:13" x14ac:dyDescent="0.2">
      <c r="A1225" s="693">
        <v>1221</v>
      </c>
      <c r="B1225" s="749" t="str">
        <f t="shared" si="19"/>
        <v>Casing and tubing of a kind used in drilling for oil or gas, welded, of flat-rolled products of iron or steel, of an external diameter of &lt;= 406,4 mm (excl. products of stainless steel or of cast iron)</v>
      </c>
      <c r="C1225" s="749" t="s">
        <v>2621</v>
      </c>
      <c r="D1225" s="1045"/>
      <c r="E1225" s="1045"/>
      <c r="F1225" s="1045"/>
      <c r="G1225" s="1045"/>
      <c r="H1225" s="1045"/>
      <c r="I1225" s="1045"/>
      <c r="J1225" s="1045"/>
      <c r="K1225" s="1045"/>
      <c r="L1225" s="1045"/>
      <c r="M1225" s="1045"/>
    </row>
    <row r="1226" spans="1:13" x14ac:dyDescent="0.2">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2623</v>
      </c>
      <c r="D1226" s="1045"/>
      <c r="E1226" s="1045"/>
      <c r="F1226" s="1045"/>
      <c r="G1226" s="1045"/>
      <c r="H1226" s="1045"/>
      <c r="I1226" s="1045"/>
      <c r="J1226" s="1045"/>
      <c r="K1226" s="1045"/>
      <c r="L1226" s="1045"/>
      <c r="M1226" s="1045"/>
    </row>
    <row r="1227" spans="1:13" x14ac:dyDescent="0.2">
      <c r="A1227" s="693">
        <v>1223</v>
      </c>
      <c r="B1227" s="749" t="str">
        <f t="shared" ref="B1227:B1290" si="20">IFERROR(INDEX(C1227:M1227,$A$4-2),$C1227)</f>
        <v>Precision tubes, welded, of circular cross-section, of iron or non-alloy steel, cold-drawn or cold-rolled "cold-reduced"</v>
      </c>
      <c r="C1227" s="749" t="s">
        <v>2625</v>
      </c>
      <c r="D1227" s="1045"/>
      <c r="E1227" s="1045"/>
      <c r="F1227" s="1045"/>
      <c r="G1227" s="1045"/>
      <c r="H1227" s="1045"/>
      <c r="I1227" s="1045"/>
      <c r="J1227" s="1045"/>
      <c r="K1227" s="1045"/>
      <c r="L1227" s="1045"/>
      <c r="M1227" s="1045"/>
    </row>
    <row r="1228" spans="1:13" x14ac:dyDescent="0.2">
      <c r="A1228" s="693">
        <v>1224</v>
      </c>
      <c r="B1228" s="749" t="str">
        <f t="shared" si="20"/>
        <v>Precision tubes, welded, of circular cross-section, of iron or non-alloy steel (excl. cold-drawn or cold-rolled)</v>
      </c>
      <c r="C1228" s="749" t="s">
        <v>2627</v>
      </c>
      <c r="D1228" s="1045"/>
      <c r="E1228" s="1045"/>
      <c r="F1228" s="1045"/>
      <c r="G1228" s="1045"/>
      <c r="H1228" s="1045"/>
      <c r="I1228" s="1045"/>
      <c r="J1228" s="1045"/>
      <c r="K1228" s="1045"/>
      <c r="L1228" s="1045"/>
      <c r="M1228" s="1045"/>
    </row>
    <row r="1229" spans="1:13" x14ac:dyDescent="0.2">
      <c r="A1229" s="693">
        <v>1225</v>
      </c>
      <c r="B1229" s="749" t="str">
        <f t="shared" si="20"/>
        <v>Threaded or threadable tubes "gas pipe", welded, of circular cross-section, of iron or non-alloy steel, plated or coated with zinc</v>
      </c>
      <c r="C1229" s="749" t="s">
        <v>2629</v>
      </c>
      <c r="D1229" s="1045"/>
      <c r="E1229" s="1045"/>
      <c r="F1229" s="1045"/>
      <c r="G1229" s="1045"/>
      <c r="H1229" s="1045"/>
      <c r="I1229" s="1045"/>
      <c r="J1229" s="1045"/>
      <c r="K1229" s="1045"/>
      <c r="L1229" s="1045"/>
      <c r="M1229" s="1045"/>
    </row>
    <row r="1230" spans="1:13" x14ac:dyDescent="0.2">
      <c r="A1230" s="693">
        <v>1226</v>
      </c>
      <c r="B1230" s="749" t="str">
        <f t="shared" si="20"/>
        <v>Threaded or threadable tubes "gas pipe", welded, of circular cross-section, of iron or non-alloy steel (excl. products plated or coated with zinc)</v>
      </c>
      <c r="C1230" s="749" t="s">
        <v>2631</v>
      </c>
      <c r="D1230" s="1045"/>
      <c r="E1230" s="1045"/>
      <c r="F1230" s="1045"/>
      <c r="G1230" s="1045"/>
      <c r="H1230" s="1045"/>
      <c r="I1230" s="1045"/>
      <c r="J1230" s="1045"/>
      <c r="K1230" s="1045"/>
      <c r="L1230" s="1045"/>
      <c r="M1230" s="1045"/>
    </row>
    <row r="1231" spans="1:13" x14ac:dyDescent="0.2">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2633</v>
      </c>
      <c r="D1231" s="1045"/>
      <c r="E1231" s="1045"/>
      <c r="F1231" s="1045"/>
      <c r="G1231" s="1045"/>
      <c r="H1231" s="1045"/>
      <c r="I1231" s="1045"/>
      <c r="J1231" s="1045"/>
      <c r="K1231" s="1045"/>
      <c r="L1231" s="1045"/>
      <c r="M1231" s="1045"/>
    </row>
    <row r="1232" spans="1:13" x14ac:dyDescent="0.2">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2635</v>
      </c>
      <c r="D1232" s="1045"/>
      <c r="E1232" s="1045"/>
      <c r="F1232" s="1045"/>
      <c r="G1232" s="1045"/>
      <c r="H1232" s="1045"/>
      <c r="I1232" s="1045"/>
      <c r="J1232" s="1045"/>
      <c r="K1232" s="1045"/>
      <c r="L1232" s="1045"/>
      <c r="M1232" s="1045"/>
    </row>
    <row r="1233" spans="1:13" x14ac:dyDescent="0.2">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2637</v>
      </c>
      <c r="D1233" s="1045"/>
      <c r="E1233" s="1045"/>
      <c r="F1233" s="1045"/>
      <c r="G1233" s="1045"/>
      <c r="H1233" s="1045"/>
      <c r="I1233" s="1045"/>
      <c r="J1233" s="1045"/>
      <c r="K1233" s="1045"/>
      <c r="L1233" s="1045"/>
      <c r="M1233" s="1045"/>
    </row>
    <row r="1234" spans="1:13" x14ac:dyDescent="0.2">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2639</v>
      </c>
      <c r="D1234" s="1045"/>
      <c r="E1234" s="1045"/>
      <c r="F1234" s="1045"/>
      <c r="G1234" s="1045"/>
      <c r="H1234" s="1045"/>
      <c r="I1234" s="1045"/>
      <c r="J1234" s="1045"/>
      <c r="K1234" s="1045"/>
      <c r="L1234" s="1045"/>
      <c r="M1234" s="1045"/>
    </row>
    <row r="1235" spans="1:13" x14ac:dyDescent="0.2">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2641</v>
      </c>
      <c r="D1235" s="1045"/>
      <c r="E1235" s="1045"/>
      <c r="F1235" s="1045"/>
      <c r="G1235" s="1045"/>
      <c r="H1235" s="1045"/>
      <c r="I1235" s="1045"/>
      <c r="J1235" s="1045"/>
      <c r="K1235" s="1045"/>
      <c r="L1235" s="1045"/>
      <c r="M1235" s="1045"/>
    </row>
    <row r="1236" spans="1:13" x14ac:dyDescent="0.2">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2643</v>
      </c>
      <c r="D1236" s="1045"/>
      <c r="E1236" s="1045"/>
      <c r="F1236" s="1045"/>
      <c r="G1236" s="1045"/>
      <c r="H1236" s="1045"/>
      <c r="I1236" s="1045"/>
      <c r="J1236" s="1045"/>
      <c r="K1236" s="1045"/>
      <c r="L1236" s="1045"/>
      <c r="M1236" s="1045"/>
    </row>
    <row r="1237" spans="1:13" x14ac:dyDescent="0.2">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2645</v>
      </c>
      <c r="D1237" s="1045"/>
      <c r="E1237" s="1045"/>
      <c r="F1237" s="1045"/>
      <c r="G1237" s="1045"/>
      <c r="H1237" s="1045"/>
      <c r="I1237" s="1045"/>
      <c r="J1237" s="1045"/>
      <c r="K1237" s="1045"/>
      <c r="L1237" s="1045"/>
      <c r="M1237" s="1045"/>
    </row>
    <row r="1238" spans="1:13" x14ac:dyDescent="0.2">
      <c r="A1238" s="693">
        <v>1234</v>
      </c>
      <c r="B1238" s="749" t="str">
        <f t="shared" si="20"/>
        <v>Precision steel tubes, welded, of circular cross-section, of alloy steel other than stainless, cold-drawn or cold-rolled "cold-reduced"</v>
      </c>
      <c r="C1238" s="749" t="s">
        <v>2647</v>
      </c>
      <c r="D1238" s="1045"/>
      <c r="E1238" s="1045"/>
      <c r="F1238" s="1045"/>
      <c r="G1238" s="1045"/>
      <c r="H1238" s="1045"/>
      <c r="I1238" s="1045"/>
      <c r="J1238" s="1045"/>
      <c r="K1238" s="1045"/>
      <c r="L1238" s="1045"/>
      <c r="M1238" s="1045"/>
    </row>
    <row r="1239" spans="1:13" x14ac:dyDescent="0.2">
      <c r="A1239" s="693">
        <v>1235</v>
      </c>
      <c r="B1239" s="749" t="str">
        <f t="shared" si="20"/>
        <v>Precision steel tubes, welded, of circular cross-section, of alloy steel other than stainless (excl. cold-drawn or cold-rolled)</v>
      </c>
      <c r="C1239" s="749" t="s">
        <v>2649</v>
      </c>
      <c r="D1239" s="1045"/>
      <c r="E1239" s="1045"/>
      <c r="F1239" s="1045"/>
      <c r="G1239" s="1045"/>
      <c r="H1239" s="1045"/>
      <c r="I1239" s="1045"/>
      <c r="J1239" s="1045"/>
      <c r="K1239" s="1045"/>
      <c r="L1239" s="1045"/>
      <c r="M1239" s="1045"/>
    </row>
    <row r="1240" spans="1:13" x14ac:dyDescent="0.2">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2651</v>
      </c>
      <c r="D1240" s="1045"/>
      <c r="E1240" s="1045"/>
      <c r="F1240" s="1045"/>
      <c r="G1240" s="1045"/>
      <c r="H1240" s="1045"/>
      <c r="I1240" s="1045"/>
      <c r="J1240" s="1045"/>
      <c r="K1240" s="1045"/>
      <c r="L1240" s="1045"/>
      <c r="M1240" s="1045"/>
    </row>
    <row r="1241" spans="1:13" x14ac:dyDescent="0.2">
      <c r="A1241" s="693">
        <v>1237</v>
      </c>
      <c r="B1241" s="749" t="str">
        <f t="shared" si="20"/>
        <v>Tubes and pipes and hollow profiles, welded, of square or rectangular cross-section, of iron or steel</v>
      </c>
      <c r="C1241" s="749" t="s">
        <v>2653</v>
      </c>
      <c r="D1241" s="1045"/>
      <c r="E1241" s="1045"/>
      <c r="F1241" s="1045"/>
      <c r="G1241" s="1045"/>
      <c r="H1241" s="1045"/>
      <c r="I1241" s="1045"/>
      <c r="J1241" s="1045"/>
      <c r="K1241" s="1045"/>
      <c r="L1241" s="1045"/>
      <c r="M1241" s="1045"/>
    </row>
    <row r="1242" spans="1:13" x14ac:dyDescent="0.2">
      <c r="A1242" s="693">
        <v>1238</v>
      </c>
      <c r="B1242" s="749" t="str">
        <f t="shared" si="20"/>
        <v>Tubes and pipes and hollow profiles, welded, of square or rectangular cross-section, of stainless steel</v>
      </c>
      <c r="C1242" s="749" t="s">
        <v>2655</v>
      </c>
      <c r="D1242" s="1045"/>
      <c r="E1242" s="1045"/>
      <c r="F1242" s="1045"/>
      <c r="G1242" s="1045"/>
      <c r="H1242" s="1045"/>
      <c r="I1242" s="1045"/>
      <c r="J1242" s="1045"/>
      <c r="K1242" s="1045"/>
      <c r="L1242" s="1045"/>
      <c r="M1242" s="1045"/>
    </row>
    <row r="1243" spans="1:13" x14ac:dyDescent="0.2">
      <c r="A1243" s="693">
        <v>1239</v>
      </c>
      <c r="B1243" s="749" t="str">
        <f t="shared" si="20"/>
        <v>Tubes and pipes and hollow profiles, welded, of square or rectangular cross-section, of iron or steel other than stainless steel, with a wall thickness of &lt;= 2 mm</v>
      </c>
      <c r="C1243" s="749" t="s">
        <v>2657</v>
      </c>
      <c r="D1243" s="1045"/>
      <c r="E1243" s="1045"/>
      <c r="F1243" s="1045"/>
      <c r="G1243" s="1045"/>
      <c r="H1243" s="1045"/>
      <c r="I1243" s="1045"/>
      <c r="J1243" s="1045"/>
      <c r="K1243" s="1045"/>
      <c r="L1243" s="1045"/>
      <c r="M1243" s="1045"/>
    </row>
    <row r="1244" spans="1:13" x14ac:dyDescent="0.2">
      <c r="A1244" s="693">
        <v>1240</v>
      </c>
      <c r="B1244" s="749" t="str">
        <f t="shared" si="20"/>
        <v>Tubes and pipes and hollow profiles, welded, of square or rectangular cross-section, of iron or steel other than stainless steel, with a wall thickness of &gt; 2 mm</v>
      </c>
      <c r="C1244" s="749" t="s">
        <v>2659</v>
      </c>
      <c r="D1244" s="1045"/>
      <c r="E1244" s="1045"/>
      <c r="F1244" s="1045"/>
      <c r="G1244" s="1045"/>
      <c r="H1244" s="1045"/>
      <c r="I1244" s="1045"/>
      <c r="J1244" s="1045"/>
      <c r="K1244" s="1045"/>
      <c r="L1244" s="1045"/>
      <c r="M1244" s="1045"/>
    </row>
    <row r="1245" spans="1:13" x14ac:dyDescent="0.2">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2661</v>
      </c>
      <c r="D1245" s="1045"/>
      <c r="E1245" s="1045"/>
      <c r="F1245" s="1045"/>
      <c r="G1245" s="1045"/>
      <c r="H1245" s="1045"/>
      <c r="I1245" s="1045"/>
      <c r="J1245" s="1045"/>
      <c r="K1245" s="1045"/>
      <c r="L1245" s="1045"/>
      <c r="M1245" s="1045"/>
    </row>
    <row r="1246" spans="1:13" x14ac:dyDescent="0.2">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2663</v>
      </c>
      <c r="D1246" s="1045"/>
      <c r="E1246" s="1045"/>
      <c r="F1246" s="1045"/>
      <c r="G1246" s="1045"/>
      <c r="H1246" s="1045"/>
      <c r="I1246" s="1045"/>
      <c r="J1246" s="1045"/>
      <c r="K1246" s="1045"/>
      <c r="L1246" s="1045"/>
      <c r="M1246" s="1045"/>
    </row>
    <row r="1247" spans="1:13" x14ac:dyDescent="0.2">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2665</v>
      </c>
      <c r="D1247" s="1045"/>
      <c r="E1247" s="1045"/>
      <c r="F1247" s="1045"/>
      <c r="G1247" s="1045"/>
      <c r="H1247" s="1045"/>
      <c r="I1247" s="1045"/>
      <c r="J1247" s="1045"/>
      <c r="K1247" s="1045"/>
      <c r="L1247" s="1045"/>
      <c r="M1247" s="1045"/>
    </row>
    <row r="1248" spans="1:13" x14ac:dyDescent="0.2">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2667</v>
      </c>
      <c r="D1248" s="1045"/>
      <c r="E1248" s="1045"/>
      <c r="F1248" s="1045"/>
      <c r="G1248" s="1045"/>
      <c r="H1248" s="1045"/>
      <c r="I1248" s="1045"/>
      <c r="J1248" s="1045"/>
      <c r="K1248" s="1045"/>
      <c r="L1248" s="1045"/>
      <c r="M1248" s="1045"/>
    </row>
    <row r="1249" spans="1:13" x14ac:dyDescent="0.2">
      <c r="A1249" s="693">
        <v>1245</v>
      </c>
      <c r="B1249" s="749" t="str">
        <f t="shared" si="20"/>
        <v>Tube or pipe fittings "e.g. couplings, elbows, sleeves", of iron or steel</v>
      </c>
      <c r="C1249" s="749" t="s">
        <v>2669</v>
      </c>
      <c r="D1249" s="1045"/>
      <c r="E1249" s="1045"/>
      <c r="F1249" s="1045"/>
      <c r="G1249" s="1045"/>
      <c r="H1249" s="1045"/>
      <c r="I1249" s="1045"/>
      <c r="J1249" s="1045"/>
      <c r="K1249" s="1045"/>
      <c r="L1249" s="1045"/>
      <c r="M1249" s="1045"/>
    </row>
    <row r="1250" spans="1:13" x14ac:dyDescent="0.2">
      <c r="A1250" s="693">
        <v>1246</v>
      </c>
      <c r="B1250" s="749" t="str">
        <f t="shared" si="20"/>
        <v>Tube or pipe fittings of non-malleable cast iron</v>
      </c>
      <c r="C1250" s="749" t="s">
        <v>2671</v>
      </c>
      <c r="D1250" s="1045"/>
      <c r="E1250" s="1045"/>
      <c r="F1250" s="1045"/>
      <c r="G1250" s="1045"/>
      <c r="H1250" s="1045"/>
      <c r="I1250" s="1045"/>
      <c r="J1250" s="1045"/>
      <c r="K1250" s="1045"/>
      <c r="L1250" s="1045"/>
      <c r="M1250" s="1045"/>
    </row>
    <row r="1251" spans="1:13" x14ac:dyDescent="0.2">
      <c r="A1251" s="693">
        <v>1247</v>
      </c>
      <c r="B1251" s="749" t="str">
        <f t="shared" si="20"/>
        <v>Tube or pipe fittings of non-malleable cast iron, of a kind used in pressure systems</v>
      </c>
      <c r="C1251" s="749" t="s">
        <v>2673</v>
      </c>
      <c r="D1251" s="1045"/>
      <c r="E1251" s="1045"/>
      <c r="F1251" s="1045"/>
      <c r="G1251" s="1045"/>
      <c r="H1251" s="1045"/>
      <c r="I1251" s="1045"/>
      <c r="J1251" s="1045"/>
      <c r="K1251" s="1045"/>
      <c r="L1251" s="1045"/>
      <c r="M1251" s="1045"/>
    </row>
    <row r="1252" spans="1:13" x14ac:dyDescent="0.2">
      <c r="A1252" s="693">
        <v>1248</v>
      </c>
      <c r="B1252" s="749" t="str">
        <f t="shared" si="20"/>
        <v>Tube or pipe fittings of non-malleable cast iron (excl. products of a kind used in pressure systems)</v>
      </c>
      <c r="C1252" s="749" t="s">
        <v>2675</v>
      </c>
      <c r="D1252" s="1045"/>
      <c r="E1252" s="1045"/>
      <c r="F1252" s="1045"/>
      <c r="G1252" s="1045"/>
      <c r="H1252" s="1045"/>
      <c r="I1252" s="1045"/>
      <c r="J1252" s="1045"/>
      <c r="K1252" s="1045"/>
      <c r="L1252" s="1045"/>
      <c r="M1252" s="1045"/>
    </row>
    <row r="1253" spans="1:13" x14ac:dyDescent="0.2">
      <c r="A1253" s="693">
        <v>1249</v>
      </c>
      <c r="B1253" s="749" t="str">
        <f t="shared" si="20"/>
        <v>Cast tube or pipe fittings of iron or steel (excl. products of non-malleable cast iron)</v>
      </c>
      <c r="C1253" s="749" t="s">
        <v>2677</v>
      </c>
      <c r="D1253" s="1045"/>
      <c r="E1253" s="1045"/>
      <c r="F1253" s="1045"/>
      <c r="G1253" s="1045"/>
      <c r="H1253" s="1045"/>
      <c r="I1253" s="1045"/>
      <c r="J1253" s="1045"/>
      <c r="K1253" s="1045"/>
      <c r="L1253" s="1045"/>
      <c r="M1253" s="1045"/>
    </row>
    <row r="1254" spans="1:13" x14ac:dyDescent="0.2">
      <c r="A1254" s="693">
        <v>1250</v>
      </c>
      <c r="B1254" s="749" t="str">
        <f t="shared" si="20"/>
        <v>Tube or pipe fittings of cast iron (excl. of non-malleable)</v>
      </c>
      <c r="C1254" s="749" t="s">
        <v>2679</v>
      </c>
      <c r="D1254" s="1045"/>
      <c r="E1254" s="1045"/>
      <c r="F1254" s="1045"/>
      <c r="G1254" s="1045"/>
      <c r="H1254" s="1045"/>
      <c r="I1254" s="1045"/>
      <c r="J1254" s="1045"/>
      <c r="K1254" s="1045"/>
      <c r="L1254" s="1045"/>
      <c r="M1254" s="1045"/>
    </row>
    <row r="1255" spans="1:13" x14ac:dyDescent="0.2">
      <c r="A1255" s="693">
        <v>1251</v>
      </c>
      <c r="B1255" s="749" t="str">
        <f t="shared" si="20"/>
        <v>Cast tube or pipe fittings of steel</v>
      </c>
      <c r="C1255" s="749" t="s">
        <v>2681</v>
      </c>
      <c r="D1255" s="1045"/>
      <c r="E1255" s="1045"/>
      <c r="F1255" s="1045"/>
      <c r="G1255" s="1045"/>
      <c r="H1255" s="1045"/>
      <c r="I1255" s="1045"/>
      <c r="J1255" s="1045"/>
      <c r="K1255" s="1045"/>
      <c r="L1255" s="1045"/>
      <c r="M1255" s="1045"/>
    </row>
    <row r="1256" spans="1:13" x14ac:dyDescent="0.2">
      <c r="A1256" s="693">
        <v>1252</v>
      </c>
      <c r="B1256" s="749" t="str">
        <f t="shared" si="20"/>
        <v>Flanges of stainless steel (excl. cast products)</v>
      </c>
      <c r="C1256" s="749" t="s">
        <v>2683</v>
      </c>
      <c r="D1256" s="1045"/>
      <c r="E1256" s="1045"/>
      <c r="F1256" s="1045"/>
      <c r="G1256" s="1045"/>
      <c r="H1256" s="1045"/>
      <c r="I1256" s="1045"/>
      <c r="J1256" s="1045"/>
      <c r="K1256" s="1045"/>
      <c r="L1256" s="1045"/>
      <c r="M1256" s="1045"/>
    </row>
    <row r="1257" spans="1:13" x14ac:dyDescent="0.2">
      <c r="A1257" s="693">
        <v>1253</v>
      </c>
      <c r="B1257" s="749" t="str">
        <f t="shared" si="20"/>
        <v>Threaded elbows, bends and sleeves of stainless steel (excl. cast products)</v>
      </c>
      <c r="C1257" s="749" t="s">
        <v>2685</v>
      </c>
      <c r="D1257" s="1045"/>
      <c r="E1257" s="1045"/>
      <c r="F1257" s="1045"/>
      <c r="G1257" s="1045"/>
      <c r="H1257" s="1045"/>
      <c r="I1257" s="1045"/>
      <c r="J1257" s="1045"/>
      <c r="K1257" s="1045"/>
      <c r="L1257" s="1045"/>
      <c r="M1257" s="1045"/>
    </row>
    <row r="1258" spans="1:13" x14ac:dyDescent="0.2">
      <c r="A1258" s="693">
        <v>1254</v>
      </c>
      <c r="B1258" s="749" t="str">
        <f t="shared" si="20"/>
        <v>Sleeves, of stainless steel, threaded (excl. cast products)</v>
      </c>
      <c r="C1258" s="749" t="s">
        <v>2687</v>
      </c>
      <c r="D1258" s="1045"/>
      <c r="E1258" s="1045"/>
      <c r="F1258" s="1045"/>
      <c r="G1258" s="1045"/>
      <c r="H1258" s="1045"/>
      <c r="I1258" s="1045"/>
      <c r="J1258" s="1045"/>
      <c r="K1258" s="1045"/>
      <c r="L1258" s="1045"/>
      <c r="M1258" s="1045"/>
    </row>
    <row r="1259" spans="1:13" x14ac:dyDescent="0.2">
      <c r="A1259" s="693">
        <v>1255</v>
      </c>
      <c r="B1259" s="749" t="str">
        <f t="shared" si="20"/>
        <v>Elbows and bends, of stainless steel, threaded (excl. cast products)</v>
      </c>
      <c r="C1259" s="749" t="s">
        <v>2689</v>
      </c>
      <c r="D1259" s="1045"/>
      <c r="E1259" s="1045"/>
      <c r="F1259" s="1045"/>
      <c r="G1259" s="1045"/>
      <c r="H1259" s="1045"/>
      <c r="I1259" s="1045"/>
      <c r="J1259" s="1045"/>
      <c r="K1259" s="1045"/>
      <c r="L1259" s="1045"/>
      <c r="M1259" s="1045"/>
    </row>
    <row r="1260" spans="1:13" x14ac:dyDescent="0.2">
      <c r="A1260" s="693">
        <v>1256</v>
      </c>
      <c r="B1260" s="749" t="str">
        <f t="shared" si="20"/>
        <v>Butt welding tube or pipe fittings of stainless steel (excl. cast products)</v>
      </c>
      <c r="C1260" s="749" t="s">
        <v>2691</v>
      </c>
      <c r="D1260" s="1045"/>
      <c r="E1260" s="1045"/>
      <c r="F1260" s="1045"/>
      <c r="G1260" s="1045"/>
      <c r="H1260" s="1045"/>
      <c r="I1260" s="1045"/>
      <c r="J1260" s="1045"/>
      <c r="K1260" s="1045"/>
      <c r="L1260" s="1045"/>
      <c r="M1260" s="1045"/>
    </row>
    <row r="1261" spans="1:13" x14ac:dyDescent="0.2">
      <c r="A1261" s="693">
        <v>1257</v>
      </c>
      <c r="B1261" s="749" t="str">
        <f t="shared" si="20"/>
        <v>Butt welding elbows and bends of stainless steel (excl. cast products)</v>
      </c>
      <c r="C1261" s="749" t="s">
        <v>2693</v>
      </c>
      <c r="D1261" s="1045"/>
      <c r="E1261" s="1045"/>
      <c r="F1261" s="1045"/>
      <c r="G1261" s="1045"/>
      <c r="H1261" s="1045"/>
      <c r="I1261" s="1045"/>
      <c r="J1261" s="1045"/>
      <c r="K1261" s="1045"/>
      <c r="L1261" s="1045"/>
      <c r="M1261" s="1045"/>
    </row>
    <row r="1262" spans="1:13" x14ac:dyDescent="0.2">
      <c r="A1262" s="693">
        <v>1258</v>
      </c>
      <c r="B1262" s="749" t="str">
        <f t="shared" si="20"/>
        <v>Butt welding tube or pipe fittings of stainless steel (excl. cast products and elbows and bends)</v>
      </c>
      <c r="C1262" s="749" t="s">
        <v>2695</v>
      </c>
      <c r="D1262" s="1045"/>
      <c r="E1262" s="1045"/>
      <c r="F1262" s="1045"/>
      <c r="G1262" s="1045"/>
      <c r="H1262" s="1045"/>
      <c r="I1262" s="1045"/>
      <c r="J1262" s="1045"/>
      <c r="K1262" s="1045"/>
      <c r="L1262" s="1045"/>
      <c r="M1262" s="1045"/>
    </row>
    <row r="1263" spans="1:13" x14ac:dyDescent="0.2">
      <c r="A1263" s="693">
        <v>1259</v>
      </c>
      <c r="B1263" s="749" t="str">
        <f t="shared" si="20"/>
        <v>Tube or pipe fittings of stainless steel (excl. cast products, flanges, threaded elbows, bends and sleeves and butt weldings fittings)</v>
      </c>
      <c r="C1263" s="749" t="s">
        <v>2697</v>
      </c>
      <c r="D1263" s="1045"/>
      <c r="E1263" s="1045"/>
      <c r="F1263" s="1045"/>
      <c r="G1263" s="1045"/>
      <c r="H1263" s="1045"/>
      <c r="I1263" s="1045"/>
      <c r="J1263" s="1045"/>
      <c r="K1263" s="1045"/>
      <c r="L1263" s="1045"/>
      <c r="M1263" s="1045"/>
    </row>
    <row r="1264" spans="1:13" x14ac:dyDescent="0.2">
      <c r="A1264" s="693">
        <v>1260</v>
      </c>
      <c r="B1264" s="749" t="str">
        <f t="shared" si="20"/>
        <v>Threaded tube or pipe fittings of stainless steel (excl. cast products, flanges, elbows, bends and sleeves)</v>
      </c>
      <c r="C1264" s="749" t="s">
        <v>2699</v>
      </c>
      <c r="D1264" s="1045"/>
      <c r="E1264" s="1045"/>
      <c r="F1264" s="1045"/>
      <c r="G1264" s="1045"/>
      <c r="H1264" s="1045"/>
      <c r="I1264" s="1045"/>
      <c r="J1264" s="1045"/>
      <c r="K1264" s="1045"/>
      <c r="L1264" s="1045"/>
      <c r="M1264" s="1045"/>
    </row>
    <row r="1265" spans="1:13" x14ac:dyDescent="0.2">
      <c r="A1265" s="693">
        <v>1261</v>
      </c>
      <c r="B1265" s="749" t="str">
        <f t="shared" si="20"/>
        <v>Tube or pipe fittings of stainless steel (excl. cast, threaded, butt welding fittings and flanges)</v>
      </c>
      <c r="C1265" s="749" t="s">
        <v>2701</v>
      </c>
      <c r="D1265" s="1045"/>
      <c r="E1265" s="1045"/>
      <c r="F1265" s="1045"/>
      <c r="G1265" s="1045"/>
      <c r="H1265" s="1045"/>
      <c r="I1265" s="1045"/>
      <c r="J1265" s="1045"/>
      <c r="K1265" s="1045"/>
      <c r="L1265" s="1045"/>
      <c r="M1265" s="1045"/>
    </row>
    <row r="1266" spans="1:13" x14ac:dyDescent="0.2">
      <c r="A1266" s="693">
        <v>1262</v>
      </c>
      <c r="B1266" s="749" t="str">
        <f t="shared" si="20"/>
        <v>Flanges of iron or steel (excl. cast or stainless products)</v>
      </c>
      <c r="C1266" s="749" t="s">
        <v>2703</v>
      </c>
      <c r="D1266" s="1045"/>
      <c r="E1266" s="1045"/>
      <c r="F1266" s="1045"/>
      <c r="G1266" s="1045"/>
      <c r="H1266" s="1045"/>
      <c r="I1266" s="1045"/>
      <c r="J1266" s="1045"/>
      <c r="K1266" s="1045"/>
      <c r="L1266" s="1045"/>
      <c r="M1266" s="1045"/>
    </row>
    <row r="1267" spans="1:13" x14ac:dyDescent="0.2">
      <c r="A1267" s="693">
        <v>1263</v>
      </c>
      <c r="B1267" s="749" t="str">
        <f t="shared" si="20"/>
        <v>Threaded elbows, bends and sleeves, of stainless steel (excl. cast or stainless products)</v>
      </c>
      <c r="C1267" s="749" t="s">
        <v>2705</v>
      </c>
      <c r="D1267" s="1045"/>
      <c r="E1267" s="1045"/>
      <c r="F1267" s="1045"/>
      <c r="G1267" s="1045"/>
      <c r="H1267" s="1045"/>
      <c r="I1267" s="1045"/>
      <c r="J1267" s="1045"/>
      <c r="K1267" s="1045"/>
      <c r="L1267" s="1045"/>
      <c r="M1267" s="1045"/>
    </row>
    <row r="1268" spans="1:13" x14ac:dyDescent="0.2">
      <c r="A1268" s="693">
        <v>1264</v>
      </c>
      <c r="B1268" s="749" t="str">
        <f t="shared" si="20"/>
        <v>Sleeves of iron or steel, threaded (excl. cast or of stainless steel)</v>
      </c>
      <c r="C1268" s="749" t="s">
        <v>2707</v>
      </c>
      <c r="D1268" s="1045"/>
      <c r="E1268" s="1045"/>
      <c r="F1268" s="1045"/>
      <c r="G1268" s="1045"/>
      <c r="H1268" s="1045"/>
      <c r="I1268" s="1045"/>
      <c r="J1268" s="1045"/>
      <c r="K1268" s="1045"/>
      <c r="L1268" s="1045"/>
      <c r="M1268" s="1045"/>
    </row>
    <row r="1269" spans="1:13" x14ac:dyDescent="0.2">
      <c r="A1269" s="693">
        <v>1265</v>
      </c>
      <c r="B1269" s="749" t="str">
        <f t="shared" si="20"/>
        <v>Elbows and bends, of iron or steel, threaded (excl. cast or of stainless steel)</v>
      </c>
      <c r="C1269" s="749" t="s">
        <v>2709</v>
      </c>
      <c r="D1269" s="1045"/>
      <c r="E1269" s="1045"/>
      <c r="F1269" s="1045"/>
      <c r="G1269" s="1045"/>
      <c r="H1269" s="1045"/>
      <c r="I1269" s="1045"/>
      <c r="J1269" s="1045"/>
      <c r="K1269" s="1045"/>
      <c r="L1269" s="1045"/>
      <c r="M1269" s="1045"/>
    </row>
    <row r="1270" spans="1:13" x14ac:dyDescent="0.2">
      <c r="A1270" s="693">
        <v>1266</v>
      </c>
      <c r="B1270" s="749" t="str">
        <f t="shared" si="20"/>
        <v>Butt welding fittings of iron or steel (excl. cast iron or stainless steel products, and flanges)</v>
      </c>
      <c r="C1270" s="749" t="s">
        <v>2711</v>
      </c>
      <c r="D1270" s="1045"/>
      <c r="E1270" s="1045"/>
      <c r="F1270" s="1045"/>
      <c r="G1270" s="1045"/>
      <c r="H1270" s="1045"/>
      <c r="I1270" s="1045"/>
      <c r="J1270" s="1045"/>
      <c r="K1270" s="1045"/>
      <c r="L1270" s="1045"/>
      <c r="M1270" s="1045"/>
    </row>
    <row r="1271" spans="1:13" x14ac:dyDescent="0.2">
      <c r="A1271" s="693">
        <v>1267</v>
      </c>
      <c r="B1271" s="749" t="str">
        <f t="shared" si="20"/>
        <v>Butt welding elbows and bends, of iron or steel, with greatest external diameter &lt;= 609,6 mm (excl. cast iron or stainless steel products)</v>
      </c>
      <c r="C1271" s="749" t="s">
        <v>2713</v>
      </c>
      <c r="D1271" s="1045"/>
      <c r="E1271" s="1045"/>
      <c r="F1271" s="1045"/>
      <c r="G1271" s="1045"/>
      <c r="H1271" s="1045"/>
      <c r="I1271" s="1045"/>
      <c r="J1271" s="1045"/>
      <c r="K1271" s="1045"/>
      <c r="L1271" s="1045"/>
      <c r="M1271" s="1045"/>
    </row>
    <row r="1272" spans="1:13" x14ac:dyDescent="0.2">
      <c r="A1272" s="693">
        <v>1268</v>
      </c>
      <c r="B1272" s="749" t="str">
        <f t="shared" si="20"/>
        <v>Butt welding fittings of iron or steel, with greatest external diameter &lt;= 609,6 mm (excl. cast iron or stainless steel products, elbows, bends and flanges)</v>
      </c>
      <c r="C1272" s="749" t="s">
        <v>2715</v>
      </c>
      <c r="D1272" s="1045"/>
      <c r="E1272" s="1045"/>
      <c r="F1272" s="1045"/>
      <c r="G1272" s="1045"/>
      <c r="H1272" s="1045"/>
      <c r="I1272" s="1045"/>
      <c r="J1272" s="1045"/>
      <c r="K1272" s="1045"/>
      <c r="L1272" s="1045"/>
      <c r="M1272" s="1045"/>
    </row>
    <row r="1273" spans="1:13" x14ac:dyDescent="0.2">
      <c r="A1273" s="693">
        <v>1269</v>
      </c>
      <c r="B1273" s="749" t="str">
        <f t="shared" si="20"/>
        <v>Butt welding elbows and bends, of iron or steel, with greatest external diameter &gt; 609,6 mm (excl. cast iron or stainless steel products)</v>
      </c>
      <c r="C1273" s="749" t="s">
        <v>2717</v>
      </c>
      <c r="D1273" s="1045"/>
      <c r="E1273" s="1045"/>
      <c r="F1273" s="1045"/>
      <c r="G1273" s="1045"/>
      <c r="H1273" s="1045"/>
      <c r="I1273" s="1045"/>
      <c r="J1273" s="1045"/>
      <c r="K1273" s="1045"/>
      <c r="L1273" s="1045"/>
      <c r="M1273" s="1045"/>
    </row>
    <row r="1274" spans="1:13" x14ac:dyDescent="0.2">
      <c r="A1274" s="693">
        <v>1270</v>
      </c>
      <c r="B1274" s="749" t="str">
        <f t="shared" si="20"/>
        <v>Butt welding fittings of iron or steel, with greatest external diameter &gt; 609,6 mm (excl. cast iron or stainless steel products, elbows, bends and flanges)</v>
      </c>
      <c r="C1274" s="749" t="s">
        <v>2719</v>
      </c>
      <c r="D1274" s="1045"/>
      <c r="E1274" s="1045"/>
      <c r="F1274" s="1045"/>
      <c r="G1274" s="1045"/>
      <c r="H1274" s="1045"/>
      <c r="I1274" s="1045"/>
      <c r="J1274" s="1045"/>
      <c r="K1274" s="1045"/>
      <c r="L1274" s="1045"/>
      <c r="M1274" s="1045"/>
    </row>
    <row r="1275" spans="1:13" x14ac:dyDescent="0.2">
      <c r="A1275" s="693">
        <v>1271</v>
      </c>
      <c r="B1275" s="749" t="str">
        <f t="shared" si="20"/>
        <v>Tube or pipe fittings, of iron or steel (excl. cast iron or stainless steel products; flanges; threaded elbows, bends and sleeves; butt welding fittings)</v>
      </c>
      <c r="C1275" s="749" t="s">
        <v>2721</v>
      </c>
      <c r="D1275" s="1045"/>
      <c r="E1275" s="1045"/>
      <c r="F1275" s="1045"/>
      <c r="G1275" s="1045"/>
      <c r="H1275" s="1045"/>
      <c r="I1275" s="1045"/>
      <c r="J1275" s="1045"/>
      <c r="K1275" s="1045"/>
      <c r="L1275" s="1045"/>
      <c r="M1275" s="1045"/>
    </row>
    <row r="1276" spans="1:13" x14ac:dyDescent="0.2">
      <c r="A1276" s="693">
        <v>1272</v>
      </c>
      <c r="B1276" s="749" t="str">
        <f t="shared" si="20"/>
        <v>Threaded tube or pipe fittings, of iron or steel (excl. cast iron or stainless steel products, flanges, elbows, bends and sleeves)</v>
      </c>
      <c r="C1276" s="749" t="s">
        <v>2723</v>
      </c>
      <c r="D1276" s="1045"/>
      <c r="E1276" s="1045"/>
      <c r="F1276" s="1045"/>
      <c r="G1276" s="1045"/>
      <c r="H1276" s="1045"/>
      <c r="I1276" s="1045"/>
      <c r="J1276" s="1045"/>
      <c r="K1276" s="1045"/>
      <c r="L1276" s="1045"/>
      <c r="M1276" s="1045"/>
    </row>
    <row r="1277" spans="1:13" x14ac:dyDescent="0.2">
      <c r="A1277" s="693">
        <v>1273</v>
      </c>
      <c r="B1277" s="749" t="str">
        <f t="shared" si="20"/>
        <v>Tube or pipe fittings, of iron or steel (excl. of cast iron or stainless steel, threaded, butt welding fittings, and flanges)</v>
      </c>
      <c r="C1277" s="749" t="s">
        <v>2725</v>
      </c>
      <c r="D1277" s="1045"/>
      <c r="E1277" s="1045"/>
      <c r="F1277" s="1045"/>
      <c r="G1277" s="1045"/>
      <c r="H1277" s="1045"/>
      <c r="I1277" s="1045"/>
      <c r="J1277" s="1045"/>
      <c r="K1277" s="1045"/>
      <c r="L1277" s="1045"/>
      <c r="M1277" s="1045"/>
    </row>
    <row r="1278" spans="1:13" x14ac:dyDescent="0.2">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2727</v>
      </c>
      <c r="D1278" s="1045"/>
      <c r="E1278" s="1045"/>
      <c r="F1278" s="1045"/>
      <c r="G1278" s="1045"/>
      <c r="H1278" s="1045"/>
      <c r="I1278" s="1045"/>
      <c r="J1278" s="1045"/>
      <c r="K1278" s="1045"/>
      <c r="L1278" s="1045"/>
      <c r="M1278" s="1045"/>
    </row>
    <row r="1279" spans="1:13" x14ac:dyDescent="0.2">
      <c r="A1279" s="693">
        <v>1275</v>
      </c>
      <c r="B1279" s="749" t="str">
        <f t="shared" si="20"/>
        <v>Bridges and bridge-sections, of iron or steel</v>
      </c>
      <c r="C1279" s="749" t="s">
        <v>2729</v>
      </c>
      <c r="D1279" s="1045"/>
      <c r="E1279" s="1045"/>
      <c r="F1279" s="1045"/>
      <c r="G1279" s="1045"/>
      <c r="H1279" s="1045"/>
      <c r="I1279" s="1045"/>
      <c r="J1279" s="1045"/>
      <c r="K1279" s="1045"/>
      <c r="L1279" s="1045"/>
      <c r="M1279" s="1045"/>
    </row>
    <row r="1280" spans="1:13" x14ac:dyDescent="0.2">
      <c r="A1280" s="693">
        <v>1276</v>
      </c>
      <c r="B1280" s="749" t="str">
        <f t="shared" si="20"/>
        <v>Towers and lattice masts, of iron or steel</v>
      </c>
      <c r="C1280" s="749" t="s">
        <v>2731</v>
      </c>
      <c r="D1280" s="1045"/>
      <c r="E1280" s="1045"/>
      <c r="F1280" s="1045"/>
      <c r="G1280" s="1045"/>
      <c r="H1280" s="1045"/>
      <c r="I1280" s="1045"/>
      <c r="J1280" s="1045"/>
      <c r="K1280" s="1045"/>
      <c r="L1280" s="1045"/>
      <c r="M1280" s="1045"/>
    </row>
    <row r="1281" spans="1:13" x14ac:dyDescent="0.2">
      <c r="A1281" s="693">
        <v>1277</v>
      </c>
      <c r="B1281" s="749" t="str">
        <f t="shared" si="20"/>
        <v>Doors, windows and their frames and thresholds for doors, of iron or steel</v>
      </c>
      <c r="C1281" s="749" t="s">
        <v>2733</v>
      </c>
      <c r="D1281" s="1045"/>
      <c r="E1281" s="1045"/>
      <c r="F1281" s="1045"/>
      <c r="G1281" s="1045"/>
      <c r="H1281" s="1045"/>
      <c r="I1281" s="1045"/>
      <c r="J1281" s="1045"/>
      <c r="K1281" s="1045"/>
      <c r="L1281" s="1045"/>
      <c r="M1281" s="1045"/>
    </row>
    <row r="1282" spans="1:13" x14ac:dyDescent="0.2">
      <c r="A1282" s="693">
        <v>1278</v>
      </c>
      <c r="B1282" s="749" t="str">
        <f t="shared" si="20"/>
        <v>Equipment for scaffolding, shuttering, propping or pit-propping (excl. composite sheetpiling products and formwork panels for poured-in-place concrete, which have the characteristics of moulds)</v>
      </c>
      <c r="C1282" s="749" t="s">
        <v>2735</v>
      </c>
      <c r="D1282" s="1045"/>
      <c r="E1282" s="1045"/>
      <c r="F1282" s="1045"/>
      <c r="G1282" s="1045"/>
      <c r="H1282" s="1045"/>
      <c r="I1282" s="1045"/>
      <c r="J1282" s="1045"/>
      <c r="K1282" s="1045"/>
      <c r="L1282" s="1045"/>
      <c r="M1282" s="1045"/>
    </row>
    <row r="1283" spans="1:13" x14ac:dyDescent="0.2">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2737</v>
      </c>
      <c r="D1283" s="1045"/>
      <c r="E1283" s="1045"/>
      <c r="F1283" s="1045"/>
      <c r="G1283" s="1045"/>
      <c r="H1283" s="1045"/>
      <c r="I1283" s="1045"/>
      <c r="J1283" s="1045"/>
      <c r="K1283" s="1045"/>
      <c r="L1283" s="1045"/>
      <c r="M1283" s="1045"/>
    </row>
    <row r="1284" spans="1:13" x14ac:dyDescent="0.2">
      <c r="A1284" s="693">
        <v>1280</v>
      </c>
      <c r="B1284" s="749" t="str">
        <f t="shared" si="20"/>
        <v>Panels comprising two walls of profiled "ribbed" sheet, of iron or steel, with an insulating core</v>
      </c>
      <c r="C1284" s="749" t="s">
        <v>2739</v>
      </c>
      <c r="D1284" s="1045"/>
      <c r="E1284" s="1045"/>
      <c r="F1284" s="1045"/>
      <c r="G1284" s="1045"/>
      <c r="H1284" s="1045"/>
      <c r="I1284" s="1045"/>
      <c r="J1284" s="1045"/>
      <c r="K1284" s="1045"/>
      <c r="L1284" s="1045"/>
      <c r="M1284" s="1045"/>
    </row>
    <row r="1285" spans="1:13" x14ac:dyDescent="0.2">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2741</v>
      </c>
      <c r="D1285" s="1045"/>
      <c r="E1285" s="1045"/>
      <c r="F1285" s="1045"/>
      <c r="G1285" s="1045"/>
      <c r="H1285" s="1045"/>
      <c r="I1285" s="1045"/>
      <c r="J1285" s="1045"/>
      <c r="K1285" s="1045"/>
      <c r="L1285" s="1045"/>
      <c r="M1285" s="1045"/>
    </row>
    <row r="1286" spans="1:13" x14ac:dyDescent="0.2">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2743</v>
      </c>
      <c r="D1286" s="1045"/>
      <c r="E1286" s="1045"/>
      <c r="F1286" s="1045"/>
      <c r="G1286" s="1045"/>
      <c r="H1286" s="1045"/>
      <c r="I1286" s="1045"/>
      <c r="J1286" s="1045"/>
      <c r="K1286" s="1045"/>
      <c r="L1286" s="1045"/>
      <c r="M1286" s="1045"/>
    </row>
    <row r="1287" spans="1:13" x14ac:dyDescent="0.2">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2745</v>
      </c>
      <c r="D1287" s="1045"/>
      <c r="E1287" s="1045"/>
      <c r="F1287" s="1045"/>
      <c r="G1287" s="1045"/>
      <c r="H1287" s="1045"/>
      <c r="I1287" s="1045"/>
      <c r="J1287" s="1045"/>
      <c r="K1287" s="1045"/>
      <c r="L1287" s="1045"/>
      <c r="M1287" s="1045"/>
    </row>
    <row r="1288" spans="1:13" x14ac:dyDescent="0.2">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2747</v>
      </c>
      <c r="D1288" s="1045"/>
      <c r="E1288" s="1045"/>
      <c r="F1288" s="1045"/>
      <c r="G1288" s="1045"/>
      <c r="H1288" s="1045"/>
      <c r="I1288" s="1045"/>
      <c r="J1288" s="1045"/>
      <c r="K1288" s="1045"/>
      <c r="L1288" s="1045"/>
      <c r="M1288" s="1045"/>
    </row>
    <row r="1289" spans="1:13" x14ac:dyDescent="0.2">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2749</v>
      </c>
      <c r="D1289" s="1045"/>
      <c r="E1289" s="1045"/>
      <c r="F1289" s="1045"/>
      <c r="G1289" s="1045"/>
      <c r="H1289" s="1045"/>
      <c r="I1289" s="1045"/>
      <c r="J1289" s="1045"/>
      <c r="K1289" s="1045"/>
      <c r="L1289" s="1045"/>
      <c r="M1289" s="1045"/>
    </row>
    <row r="1290" spans="1:13" x14ac:dyDescent="0.2">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2751</v>
      </c>
      <c r="D1290" s="1045"/>
      <c r="E1290" s="1045"/>
      <c r="F1290" s="1045"/>
      <c r="G1290" s="1045"/>
      <c r="H1290" s="1045"/>
      <c r="I1290" s="1045"/>
      <c r="J1290" s="1045"/>
      <c r="K1290" s="1045"/>
      <c r="L1290" s="1045"/>
      <c r="M1290" s="1045"/>
    </row>
    <row r="1291" spans="1:13" x14ac:dyDescent="0.2">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2753</v>
      </c>
      <c r="D1291" s="1045"/>
      <c r="E1291" s="1045"/>
      <c r="F1291" s="1045"/>
      <c r="G1291" s="1045"/>
      <c r="H1291" s="1045"/>
      <c r="I1291" s="1045"/>
      <c r="J1291" s="1045"/>
      <c r="K1291" s="1045"/>
      <c r="L1291" s="1045"/>
      <c r="M1291" s="1045"/>
    </row>
    <row r="1292" spans="1:13" x14ac:dyDescent="0.2">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2755</v>
      </c>
      <c r="D1292" s="1045"/>
      <c r="E1292" s="1045"/>
      <c r="F1292" s="1045"/>
      <c r="G1292" s="1045"/>
      <c r="H1292" s="1045"/>
      <c r="I1292" s="1045"/>
      <c r="J1292" s="1045"/>
      <c r="K1292" s="1045"/>
      <c r="L1292" s="1045"/>
      <c r="M1292" s="1045"/>
    </row>
    <row r="1293" spans="1:13" x14ac:dyDescent="0.2">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2757</v>
      </c>
      <c r="D1293" s="1045"/>
      <c r="E1293" s="1045"/>
      <c r="F1293" s="1045"/>
      <c r="G1293" s="1045"/>
      <c r="H1293" s="1045"/>
      <c r="I1293" s="1045"/>
      <c r="J1293" s="1045"/>
      <c r="K1293" s="1045"/>
      <c r="L1293" s="1045"/>
      <c r="M1293" s="1045"/>
    </row>
    <row r="1294" spans="1:13" x14ac:dyDescent="0.2">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2759</v>
      </c>
      <c r="D1294" s="1045"/>
      <c r="E1294" s="1045"/>
      <c r="F1294" s="1045"/>
      <c r="G1294" s="1045"/>
      <c r="H1294" s="1045"/>
      <c r="I1294" s="1045"/>
      <c r="J1294" s="1045"/>
      <c r="K1294" s="1045"/>
      <c r="L1294" s="1045"/>
      <c r="M1294" s="1045"/>
    </row>
    <row r="1295" spans="1:13" x14ac:dyDescent="0.2">
      <c r="A1295" s="693">
        <v>1291</v>
      </c>
      <c r="B1295" s="749" t="str">
        <f t="shared" si="21"/>
        <v>Cans of iron or steel, of a capacity of &lt; 50 l, which are to be closed by soldering or crimping (excl. containers for compressed or liquefied gas)</v>
      </c>
      <c r="C1295" s="749" t="s">
        <v>2761</v>
      </c>
      <c r="D1295" s="1045"/>
      <c r="E1295" s="1045"/>
      <c r="F1295" s="1045"/>
      <c r="G1295" s="1045"/>
      <c r="H1295" s="1045"/>
      <c r="I1295" s="1045"/>
      <c r="J1295" s="1045"/>
      <c r="K1295" s="1045"/>
      <c r="L1295" s="1045"/>
      <c r="M1295" s="1045"/>
    </row>
    <row r="1296" spans="1:13" x14ac:dyDescent="0.2">
      <c r="A1296" s="693">
        <v>1292</v>
      </c>
      <c r="B1296" s="749" t="str">
        <f t="shared" si="21"/>
        <v>Cans of iron or steel, of a capacity of &lt; 50 l, which are to be closed by soldering or crimping, of a kind used for preserving food</v>
      </c>
      <c r="C1296" s="749" t="s">
        <v>2763</v>
      </c>
      <c r="D1296" s="1045"/>
      <c r="E1296" s="1045"/>
      <c r="F1296" s="1045"/>
      <c r="G1296" s="1045"/>
      <c r="H1296" s="1045"/>
      <c r="I1296" s="1045"/>
      <c r="J1296" s="1045"/>
      <c r="K1296" s="1045"/>
      <c r="L1296" s="1045"/>
      <c r="M1296" s="1045"/>
    </row>
    <row r="1297" spans="1:13" x14ac:dyDescent="0.2">
      <c r="A1297" s="693">
        <v>1293</v>
      </c>
      <c r="B1297" s="749" t="str">
        <f t="shared" si="21"/>
        <v>Cans of iron or steel, of a capacity of &lt; 50 l, which are to be closed by soldering or crimping, of a kind used for preserving drink</v>
      </c>
      <c r="C1297" s="749" t="s">
        <v>2765</v>
      </c>
      <c r="D1297" s="1045"/>
      <c r="E1297" s="1045"/>
      <c r="F1297" s="1045"/>
      <c r="G1297" s="1045"/>
      <c r="H1297" s="1045"/>
      <c r="I1297" s="1045"/>
      <c r="J1297" s="1045"/>
      <c r="K1297" s="1045"/>
      <c r="L1297" s="1045"/>
      <c r="M1297" s="1045"/>
    </row>
    <row r="1298" spans="1:13" x14ac:dyDescent="0.2">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2767</v>
      </c>
      <c r="D1298" s="1045"/>
      <c r="E1298" s="1045"/>
      <c r="F1298" s="1045"/>
      <c r="G1298" s="1045"/>
      <c r="H1298" s="1045"/>
      <c r="I1298" s="1045"/>
      <c r="J1298" s="1045"/>
      <c r="K1298" s="1045"/>
      <c r="L1298" s="1045"/>
      <c r="M1298" s="1045"/>
    </row>
    <row r="1299" spans="1:13" x14ac:dyDescent="0.2">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2769</v>
      </c>
      <c r="D1299" s="1045"/>
      <c r="E1299" s="1045"/>
      <c r="F1299" s="1045"/>
      <c r="G1299" s="1045"/>
      <c r="H1299" s="1045"/>
      <c r="I1299" s="1045"/>
      <c r="J1299" s="1045"/>
      <c r="K1299" s="1045"/>
      <c r="L1299" s="1045"/>
      <c r="M1299" s="1045"/>
    </row>
    <row r="1300" spans="1:13" x14ac:dyDescent="0.2">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2771</v>
      </c>
      <c r="D1300" s="1045"/>
      <c r="E1300" s="1045"/>
      <c r="F1300" s="1045"/>
      <c r="G1300" s="1045"/>
      <c r="H1300" s="1045"/>
      <c r="I1300" s="1045"/>
      <c r="J1300" s="1045"/>
      <c r="K1300" s="1045"/>
      <c r="L1300" s="1045"/>
      <c r="M1300" s="1045"/>
    </row>
    <row r="1301" spans="1:13" x14ac:dyDescent="0.2">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2773</v>
      </c>
      <c r="D1301" s="1045"/>
      <c r="E1301" s="1045"/>
      <c r="F1301" s="1045"/>
      <c r="G1301" s="1045"/>
      <c r="H1301" s="1045"/>
      <c r="I1301" s="1045"/>
      <c r="J1301" s="1045"/>
      <c r="K1301" s="1045"/>
      <c r="L1301" s="1045"/>
      <c r="M1301" s="1045"/>
    </row>
    <row r="1302" spans="1:13" x14ac:dyDescent="0.2">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2775</v>
      </c>
      <c r="D1302" s="1045"/>
      <c r="E1302" s="1045"/>
      <c r="F1302" s="1045"/>
      <c r="G1302" s="1045"/>
      <c r="H1302" s="1045"/>
      <c r="I1302" s="1045"/>
      <c r="J1302" s="1045"/>
      <c r="K1302" s="1045"/>
      <c r="L1302" s="1045"/>
      <c r="M1302" s="1045"/>
    </row>
    <row r="1303" spans="1:13" x14ac:dyDescent="0.2">
      <c r="A1303" s="693">
        <v>1299</v>
      </c>
      <c r="B1303" s="749" t="str">
        <f t="shared" si="21"/>
        <v>Containers of iron or steel, for compressed or liquefied gas (excl. containers specifically constructed or equipped for one or more types of transport)</v>
      </c>
      <c r="C1303" s="749" t="s">
        <v>2777</v>
      </c>
      <c r="D1303" s="1045"/>
      <c r="E1303" s="1045"/>
      <c r="F1303" s="1045"/>
      <c r="G1303" s="1045"/>
      <c r="H1303" s="1045"/>
      <c r="I1303" s="1045"/>
      <c r="J1303" s="1045"/>
      <c r="K1303" s="1045"/>
      <c r="L1303" s="1045"/>
      <c r="M1303" s="1045"/>
    </row>
    <row r="1304" spans="1:13" x14ac:dyDescent="0.2">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2779</v>
      </c>
      <c r="D1304" s="1045"/>
      <c r="E1304" s="1045"/>
      <c r="F1304" s="1045"/>
      <c r="G1304" s="1045"/>
      <c r="H1304" s="1045"/>
      <c r="I1304" s="1045"/>
      <c r="J1304" s="1045"/>
      <c r="K1304" s="1045"/>
      <c r="L1304" s="1045"/>
      <c r="M1304" s="1045"/>
    </row>
    <row r="1305" spans="1:13" x14ac:dyDescent="0.2">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2781</v>
      </c>
      <c r="D1305" s="1045"/>
      <c r="E1305" s="1045"/>
      <c r="F1305" s="1045"/>
      <c r="G1305" s="1045"/>
      <c r="H1305" s="1045"/>
      <c r="I1305" s="1045"/>
      <c r="J1305" s="1045"/>
      <c r="K1305" s="1045"/>
      <c r="L1305" s="1045"/>
      <c r="M1305" s="1045"/>
    </row>
    <row r="1306" spans="1:13" x14ac:dyDescent="0.2">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2783</v>
      </c>
      <c r="D1306" s="1045"/>
      <c r="E1306" s="1045"/>
      <c r="F1306" s="1045"/>
      <c r="G1306" s="1045"/>
      <c r="H1306" s="1045"/>
      <c r="I1306" s="1045"/>
      <c r="J1306" s="1045"/>
      <c r="K1306" s="1045"/>
      <c r="L1306" s="1045"/>
      <c r="M1306" s="1045"/>
    </row>
    <row r="1307" spans="1:13" x14ac:dyDescent="0.2">
      <c r="A1307" s="693">
        <v>1303</v>
      </c>
      <c r="B1307" s="749" t="str">
        <f t="shared" si="21"/>
        <v>Containers of iron or steel, seamless, for compressed or liquefied gas, for a pressure &lt; 165 bar (excl. containers specifically constructed or equipped for one or more types of transport)</v>
      </c>
      <c r="C1307" s="749" t="s">
        <v>2785</v>
      </c>
      <c r="D1307" s="1045"/>
      <c r="E1307" s="1045"/>
      <c r="F1307" s="1045"/>
      <c r="G1307" s="1045"/>
      <c r="H1307" s="1045"/>
      <c r="I1307" s="1045"/>
      <c r="J1307" s="1045"/>
      <c r="K1307" s="1045"/>
      <c r="L1307" s="1045"/>
      <c r="M1307" s="1045"/>
    </row>
    <row r="1308" spans="1:13" x14ac:dyDescent="0.2">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2787</v>
      </c>
      <c r="D1308" s="1045"/>
      <c r="E1308" s="1045"/>
      <c r="F1308" s="1045"/>
      <c r="G1308" s="1045"/>
      <c r="H1308" s="1045"/>
      <c r="I1308" s="1045"/>
      <c r="J1308" s="1045"/>
      <c r="K1308" s="1045"/>
      <c r="L1308" s="1045"/>
      <c r="M1308" s="1045"/>
    </row>
    <row r="1309" spans="1:13" x14ac:dyDescent="0.2">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2789</v>
      </c>
      <c r="D1309" s="1045"/>
      <c r="E1309" s="1045"/>
      <c r="F1309" s="1045"/>
      <c r="G1309" s="1045"/>
      <c r="H1309" s="1045"/>
      <c r="I1309" s="1045"/>
      <c r="J1309" s="1045"/>
      <c r="K1309" s="1045"/>
      <c r="L1309" s="1045"/>
      <c r="M1309" s="1045"/>
    </row>
    <row r="1310" spans="1:13" x14ac:dyDescent="0.2">
      <c r="A1310" s="693">
        <v>1306</v>
      </c>
      <c r="B1310" s="749" t="str">
        <f t="shared" si="21"/>
        <v>Screws, bolts, nuts, coach screws, screw hooks, rivets, cotters, cotter pins, washers, incl. spring washers, and similar articles, of iron or steel (excl. lag screws, stoppers, plugs and the like, threaded)</v>
      </c>
      <c r="C1310" s="749" t="s">
        <v>2791</v>
      </c>
      <c r="D1310" s="1045"/>
      <c r="E1310" s="1045"/>
      <c r="F1310" s="1045"/>
      <c r="G1310" s="1045"/>
      <c r="H1310" s="1045"/>
      <c r="I1310" s="1045"/>
      <c r="J1310" s="1045"/>
      <c r="K1310" s="1045"/>
      <c r="L1310" s="1045"/>
      <c r="M1310" s="1045"/>
    </row>
    <row r="1311" spans="1:13" x14ac:dyDescent="0.2">
      <c r="A1311" s="693">
        <v>1307</v>
      </c>
      <c r="B1311" s="749" t="str">
        <f t="shared" si="21"/>
        <v>Coach screws of iron or steel</v>
      </c>
      <c r="C1311" s="749" t="s">
        <v>2793</v>
      </c>
      <c r="D1311" s="1045"/>
      <c r="E1311" s="1045"/>
      <c r="F1311" s="1045"/>
      <c r="G1311" s="1045"/>
      <c r="H1311" s="1045"/>
      <c r="I1311" s="1045"/>
      <c r="J1311" s="1045"/>
      <c r="K1311" s="1045"/>
      <c r="L1311" s="1045"/>
      <c r="M1311" s="1045"/>
    </row>
    <row r="1312" spans="1:13" x14ac:dyDescent="0.2">
      <c r="A1312" s="693">
        <v>1308</v>
      </c>
      <c r="B1312" s="749" t="str">
        <f t="shared" si="21"/>
        <v>Wood screws of iron or steel (excl. coach screws)</v>
      </c>
      <c r="C1312" s="749" t="s">
        <v>2795</v>
      </c>
      <c r="D1312" s="1045"/>
      <c r="E1312" s="1045"/>
      <c r="F1312" s="1045"/>
      <c r="G1312" s="1045"/>
      <c r="H1312" s="1045"/>
      <c r="I1312" s="1045"/>
      <c r="J1312" s="1045"/>
      <c r="K1312" s="1045"/>
      <c r="L1312" s="1045"/>
      <c r="M1312" s="1045"/>
    </row>
    <row r="1313" spans="1:13" x14ac:dyDescent="0.2">
      <c r="A1313" s="693">
        <v>1309</v>
      </c>
      <c r="B1313" s="749" t="str">
        <f t="shared" si="21"/>
        <v>Wood screws of stainless steel (excl. coach screws)</v>
      </c>
      <c r="C1313" s="749" t="s">
        <v>2797</v>
      </c>
      <c r="D1313" s="1045"/>
      <c r="E1313" s="1045"/>
      <c r="F1313" s="1045"/>
      <c r="G1313" s="1045"/>
      <c r="H1313" s="1045"/>
      <c r="I1313" s="1045"/>
      <c r="J1313" s="1045"/>
      <c r="K1313" s="1045"/>
      <c r="L1313" s="1045"/>
      <c r="M1313" s="1045"/>
    </row>
    <row r="1314" spans="1:13" x14ac:dyDescent="0.2">
      <c r="A1314" s="693">
        <v>1310</v>
      </c>
      <c r="B1314" s="749" t="str">
        <f t="shared" si="21"/>
        <v>Wood screws of iron or steel other than stainless (excl. coach screws)</v>
      </c>
      <c r="C1314" s="749" t="s">
        <v>2799</v>
      </c>
      <c r="D1314" s="1045"/>
      <c r="E1314" s="1045"/>
      <c r="F1314" s="1045"/>
      <c r="G1314" s="1045"/>
      <c r="H1314" s="1045"/>
      <c r="I1314" s="1045"/>
      <c r="J1314" s="1045"/>
      <c r="K1314" s="1045"/>
      <c r="L1314" s="1045"/>
      <c r="M1314" s="1045"/>
    </row>
    <row r="1315" spans="1:13" x14ac:dyDescent="0.2">
      <c r="A1315" s="693">
        <v>1311</v>
      </c>
      <c r="B1315" s="749" t="str">
        <f t="shared" si="21"/>
        <v>Screw hooks and screw rings, of iron or steel</v>
      </c>
      <c r="C1315" s="749" t="s">
        <v>2801</v>
      </c>
      <c r="D1315" s="1045"/>
      <c r="E1315" s="1045"/>
      <c r="F1315" s="1045"/>
      <c r="G1315" s="1045"/>
      <c r="H1315" s="1045"/>
      <c r="I1315" s="1045"/>
      <c r="J1315" s="1045"/>
      <c r="K1315" s="1045"/>
      <c r="L1315" s="1045"/>
      <c r="M1315" s="1045"/>
    </row>
    <row r="1316" spans="1:13" x14ac:dyDescent="0.2">
      <c r="A1316" s="693">
        <v>1312</v>
      </c>
      <c r="B1316" s="749" t="str">
        <f t="shared" si="21"/>
        <v>Self-tapping screws, of iron or steel (excl. wood screws)</v>
      </c>
      <c r="C1316" s="749" t="s">
        <v>2803</v>
      </c>
      <c r="D1316" s="1045"/>
      <c r="E1316" s="1045"/>
      <c r="F1316" s="1045"/>
      <c r="G1316" s="1045"/>
      <c r="H1316" s="1045"/>
      <c r="I1316" s="1045"/>
      <c r="J1316" s="1045"/>
      <c r="K1316" s="1045"/>
      <c r="L1316" s="1045"/>
      <c r="M1316" s="1045"/>
    </row>
    <row r="1317" spans="1:13" x14ac:dyDescent="0.2">
      <c r="A1317" s="693">
        <v>1313</v>
      </c>
      <c r="B1317" s="749" t="str">
        <f t="shared" si="21"/>
        <v>Self-tapping screws, of stainless steel (excl. wood screws)</v>
      </c>
      <c r="C1317" s="749" t="s">
        <v>2805</v>
      </c>
      <c r="D1317" s="1045"/>
      <c r="E1317" s="1045"/>
      <c r="F1317" s="1045"/>
      <c r="G1317" s="1045"/>
      <c r="H1317" s="1045"/>
      <c r="I1317" s="1045"/>
      <c r="J1317" s="1045"/>
      <c r="K1317" s="1045"/>
      <c r="L1317" s="1045"/>
      <c r="M1317" s="1045"/>
    </row>
    <row r="1318" spans="1:13" x14ac:dyDescent="0.2">
      <c r="A1318" s="693">
        <v>1314</v>
      </c>
      <c r="B1318" s="749" t="str">
        <f t="shared" si="21"/>
        <v>Spaced-thread screws of iron or steel other than stainless</v>
      </c>
      <c r="C1318" s="749" t="s">
        <v>2807</v>
      </c>
      <c r="D1318" s="1045"/>
      <c r="E1318" s="1045"/>
      <c r="F1318" s="1045"/>
      <c r="G1318" s="1045"/>
      <c r="H1318" s="1045"/>
      <c r="I1318" s="1045"/>
      <c r="J1318" s="1045"/>
      <c r="K1318" s="1045"/>
      <c r="L1318" s="1045"/>
      <c r="M1318" s="1045"/>
    </row>
    <row r="1319" spans="1:13" x14ac:dyDescent="0.2">
      <c r="A1319" s="693">
        <v>1315</v>
      </c>
      <c r="B1319" s="749" t="str">
        <f t="shared" si="21"/>
        <v>Self-tapping screws of iron or steel other than stainless (excl. spaced-thread screws and wood screws)</v>
      </c>
      <c r="C1319" s="749" t="s">
        <v>2809</v>
      </c>
      <c r="D1319" s="1045"/>
      <c r="E1319" s="1045"/>
      <c r="F1319" s="1045"/>
      <c r="G1319" s="1045"/>
      <c r="H1319" s="1045"/>
      <c r="I1319" s="1045"/>
      <c r="J1319" s="1045"/>
      <c r="K1319" s="1045"/>
      <c r="L1319" s="1045"/>
      <c r="M1319" s="1045"/>
    </row>
    <row r="1320" spans="1:13" x14ac:dyDescent="0.2">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2811</v>
      </c>
      <c r="D1320" s="1045"/>
      <c r="E1320" s="1045"/>
      <c r="F1320" s="1045"/>
      <c r="G1320" s="1045"/>
      <c r="H1320" s="1045"/>
      <c r="I1320" s="1045"/>
      <c r="J1320" s="1045"/>
      <c r="K1320" s="1045"/>
      <c r="L1320" s="1045"/>
      <c r="M1320" s="1045"/>
    </row>
    <row r="1321" spans="1:13" x14ac:dyDescent="0.2">
      <c r="A1321" s="693">
        <v>1317</v>
      </c>
      <c r="B1321" s="749" t="str">
        <f t="shared" si="21"/>
        <v>Screws and bolts, of iron or steel "whether or not with their nuts and washers", for fixing railway track construction material (excl. coach screws)</v>
      </c>
      <c r="C1321" s="749" t="s">
        <v>2813</v>
      </c>
      <c r="D1321" s="1045"/>
      <c r="E1321" s="1045"/>
      <c r="F1321" s="1045"/>
      <c r="G1321" s="1045"/>
      <c r="H1321" s="1045"/>
      <c r="I1321" s="1045"/>
      <c r="J1321" s="1045"/>
      <c r="K1321" s="1045"/>
      <c r="L1321" s="1045"/>
      <c r="M1321" s="1045"/>
    </row>
    <row r="1322" spans="1:13" x14ac:dyDescent="0.2">
      <c r="A1322" s="693">
        <v>1318</v>
      </c>
      <c r="B1322" s="749" t="str">
        <f t="shared" si="21"/>
        <v>Screws and bolts, of stainless steel "whether or not with their nuts and washers", without heads (excl. screws and bolts for fixing railway track construction material)</v>
      </c>
      <c r="C1322" s="749" t="s">
        <v>2815</v>
      </c>
      <c r="D1322" s="1045"/>
      <c r="E1322" s="1045"/>
      <c r="F1322" s="1045"/>
      <c r="G1322" s="1045"/>
      <c r="H1322" s="1045"/>
      <c r="I1322" s="1045"/>
      <c r="J1322" s="1045"/>
      <c r="K1322" s="1045"/>
      <c r="L1322" s="1045"/>
      <c r="M1322" s="1045"/>
    </row>
    <row r="1323" spans="1:13" x14ac:dyDescent="0.2">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2817</v>
      </c>
      <c r="D1323" s="1045"/>
      <c r="E1323" s="1045"/>
      <c r="F1323" s="1045"/>
      <c r="G1323" s="1045"/>
      <c r="H1323" s="1045"/>
      <c r="I1323" s="1045"/>
      <c r="J1323" s="1045"/>
      <c r="K1323" s="1045"/>
      <c r="L1323" s="1045"/>
      <c r="M1323" s="1045"/>
    </row>
    <row r="1324" spans="1:13" x14ac:dyDescent="0.2">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2819</v>
      </c>
      <c r="D1324" s="1045"/>
      <c r="E1324" s="1045"/>
      <c r="F1324" s="1045"/>
      <c r="G1324" s="1045"/>
      <c r="H1324" s="1045"/>
      <c r="I1324" s="1045"/>
      <c r="J1324" s="1045"/>
      <c r="K1324" s="1045"/>
      <c r="L1324" s="1045"/>
      <c r="M1324" s="1045"/>
    </row>
    <row r="1325" spans="1:13" x14ac:dyDescent="0.2">
      <c r="A1325" s="693">
        <v>1321</v>
      </c>
      <c r="B1325" s="749" t="str">
        <f t="shared" si="21"/>
        <v>Screws and bolts, of stainless steel "whether or not with their nuts and washers", with slotted or cross-recessed heads (excl. wood screws and self-tapping screws)</v>
      </c>
      <c r="C1325" s="749" t="s">
        <v>2821</v>
      </c>
      <c r="D1325" s="1045"/>
      <c r="E1325" s="1045"/>
      <c r="F1325" s="1045"/>
      <c r="G1325" s="1045"/>
      <c r="H1325" s="1045"/>
      <c r="I1325" s="1045"/>
      <c r="J1325" s="1045"/>
      <c r="K1325" s="1045"/>
      <c r="L1325" s="1045"/>
      <c r="M1325" s="1045"/>
    </row>
    <row r="1326" spans="1:13" x14ac:dyDescent="0.2">
      <c r="A1326" s="693">
        <v>1322</v>
      </c>
      <c r="B1326" s="749" t="str">
        <f t="shared" si="21"/>
        <v>Screws and bolts, of iron or steel other than stainless "whether or not with their nuts and washers", with slotted or cross-recessed heads (excl. wood screws and self-tapping screws)</v>
      </c>
      <c r="C1326" s="749" t="s">
        <v>2823</v>
      </c>
      <c r="D1326" s="1045"/>
      <c r="E1326" s="1045"/>
      <c r="F1326" s="1045"/>
      <c r="G1326" s="1045"/>
      <c r="H1326" s="1045"/>
      <c r="I1326" s="1045"/>
      <c r="J1326" s="1045"/>
      <c r="K1326" s="1045"/>
      <c r="L1326" s="1045"/>
      <c r="M1326" s="1045"/>
    </row>
    <row r="1327" spans="1:13" x14ac:dyDescent="0.2">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2825</v>
      </c>
      <c r="D1327" s="1045"/>
      <c r="E1327" s="1045"/>
      <c r="F1327" s="1045"/>
      <c r="G1327" s="1045"/>
      <c r="H1327" s="1045"/>
      <c r="I1327" s="1045"/>
      <c r="J1327" s="1045"/>
      <c r="K1327" s="1045"/>
      <c r="L1327" s="1045"/>
      <c r="M1327" s="1045"/>
    </row>
    <row r="1328" spans="1:13" x14ac:dyDescent="0.2">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2827</v>
      </c>
      <c r="D1328" s="1045"/>
      <c r="E1328" s="1045"/>
      <c r="F1328" s="1045"/>
      <c r="G1328" s="1045"/>
      <c r="H1328" s="1045"/>
      <c r="I1328" s="1045"/>
      <c r="J1328" s="1045"/>
      <c r="K1328" s="1045"/>
      <c r="L1328" s="1045"/>
      <c r="M1328" s="1045"/>
    </row>
    <row r="1329" spans="1:13" x14ac:dyDescent="0.2">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2829</v>
      </c>
      <c r="D1329" s="1045"/>
      <c r="E1329" s="1045"/>
      <c r="F1329" s="1045"/>
      <c r="G1329" s="1045"/>
      <c r="H1329" s="1045"/>
      <c r="I1329" s="1045"/>
      <c r="J1329" s="1045"/>
      <c r="K1329" s="1045"/>
      <c r="L1329" s="1045"/>
      <c r="M1329" s="1045"/>
    </row>
    <row r="1330" spans="1:13" x14ac:dyDescent="0.2">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2831</v>
      </c>
      <c r="D1330" s="1045"/>
      <c r="E1330" s="1045"/>
      <c r="F1330" s="1045"/>
      <c r="G1330" s="1045"/>
      <c r="H1330" s="1045"/>
      <c r="I1330" s="1045"/>
      <c r="J1330" s="1045"/>
      <c r="K1330" s="1045"/>
      <c r="L1330" s="1045"/>
      <c r="M1330" s="1045"/>
    </row>
    <row r="1331" spans="1:13" x14ac:dyDescent="0.2">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2833</v>
      </c>
      <c r="D1331" s="1045"/>
      <c r="E1331" s="1045"/>
      <c r="F1331" s="1045"/>
      <c r="G1331" s="1045"/>
      <c r="H1331" s="1045"/>
      <c r="I1331" s="1045"/>
      <c r="J1331" s="1045"/>
      <c r="K1331" s="1045"/>
      <c r="L1331" s="1045"/>
      <c r="M1331" s="1045"/>
    </row>
    <row r="1332" spans="1:13" x14ac:dyDescent="0.2">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2835</v>
      </c>
      <c r="D1332" s="1045"/>
      <c r="E1332" s="1045"/>
      <c r="F1332" s="1045"/>
      <c r="G1332" s="1045"/>
      <c r="H1332" s="1045"/>
      <c r="I1332" s="1045"/>
      <c r="J1332" s="1045"/>
      <c r="K1332" s="1045"/>
      <c r="L1332" s="1045"/>
      <c r="M1332" s="1045"/>
    </row>
    <row r="1333" spans="1:13" x14ac:dyDescent="0.2">
      <c r="A1333" s="693">
        <v>1329</v>
      </c>
      <c r="B1333" s="749" t="str">
        <f t="shared" si="21"/>
        <v>Nuts of iron or steel</v>
      </c>
      <c r="C1333" s="749" t="s">
        <v>2837</v>
      </c>
      <c r="D1333" s="1045"/>
      <c r="E1333" s="1045"/>
      <c r="F1333" s="1045"/>
      <c r="G1333" s="1045"/>
      <c r="H1333" s="1045"/>
      <c r="I1333" s="1045"/>
      <c r="J1333" s="1045"/>
      <c r="K1333" s="1045"/>
      <c r="L1333" s="1045"/>
      <c r="M1333" s="1045"/>
    </row>
    <row r="1334" spans="1:13" x14ac:dyDescent="0.2">
      <c r="A1334" s="693">
        <v>1330</v>
      </c>
      <c r="B1334" s="749" t="str">
        <f t="shared" si="21"/>
        <v>Blind rivet nuts of stainless steel</v>
      </c>
      <c r="C1334" s="749" t="s">
        <v>2839</v>
      </c>
      <c r="D1334" s="1045"/>
      <c r="E1334" s="1045"/>
      <c r="F1334" s="1045"/>
      <c r="G1334" s="1045"/>
      <c r="H1334" s="1045"/>
      <c r="I1334" s="1045"/>
      <c r="J1334" s="1045"/>
      <c r="K1334" s="1045"/>
      <c r="L1334" s="1045"/>
      <c r="M1334" s="1045"/>
    </row>
    <row r="1335" spans="1:13" x14ac:dyDescent="0.2">
      <c r="A1335" s="693">
        <v>1331</v>
      </c>
      <c r="B1335" s="749" t="str">
        <f t="shared" si="21"/>
        <v>Nuts of stainless steel (excl. blind rivet nuts)</v>
      </c>
      <c r="C1335" s="749" t="s">
        <v>2841</v>
      </c>
      <c r="D1335" s="1045"/>
      <c r="E1335" s="1045"/>
      <c r="F1335" s="1045"/>
      <c r="G1335" s="1045"/>
      <c r="H1335" s="1045"/>
      <c r="I1335" s="1045"/>
      <c r="J1335" s="1045"/>
      <c r="K1335" s="1045"/>
      <c r="L1335" s="1045"/>
      <c r="M1335" s="1045"/>
    </row>
    <row r="1336" spans="1:13" x14ac:dyDescent="0.2">
      <c r="A1336" s="693">
        <v>1332</v>
      </c>
      <c r="B1336" s="749" t="str">
        <f t="shared" si="21"/>
        <v>Blind rivet nuts of iron or steel other than stainless</v>
      </c>
      <c r="C1336" s="749" t="s">
        <v>2843</v>
      </c>
      <c r="D1336" s="1045"/>
      <c r="E1336" s="1045"/>
      <c r="F1336" s="1045"/>
      <c r="G1336" s="1045"/>
      <c r="H1336" s="1045"/>
      <c r="I1336" s="1045"/>
      <c r="J1336" s="1045"/>
      <c r="K1336" s="1045"/>
      <c r="L1336" s="1045"/>
      <c r="M1336" s="1045"/>
    </row>
    <row r="1337" spans="1:13" x14ac:dyDescent="0.2">
      <c r="A1337" s="693">
        <v>1333</v>
      </c>
      <c r="B1337" s="749" t="str">
        <f t="shared" si="21"/>
        <v>Self-locking nuts of iron or steel other than stainless</v>
      </c>
      <c r="C1337" s="749" t="s">
        <v>2845</v>
      </c>
      <c r="D1337" s="1045"/>
      <c r="E1337" s="1045"/>
      <c r="F1337" s="1045"/>
      <c r="G1337" s="1045"/>
      <c r="H1337" s="1045"/>
      <c r="I1337" s="1045"/>
      <c r="J1337" s="1045"/>
      <c r="K1337" s="1045"/>
      <c r="L1337" s="1045"/>
      <c r="M1337" s="1045"/>
    </row>
    <row r="1338" spans="1:13" x14ac:dyDescent="0.2">
      <c r="A1338" s="693">
        <v>1334</v>
      </c>
      <c r="B1338" s="749" t="str">
        <f t="shared" si="21"/>
        <v>Nuts of iron or steel other than stainless, with an inside diameter &lt;= 12 mm (excl. blind rivet nuts and self-locking nuts)</v>
      </c>
      <c r="C1338" s="749" t="s">
        <v>2847</v>
      </c>
      <c r="D1338" s="1045"/>
      <c r="E1338" s="1045"/>
      <c r="F1338" s="1045"/>
      <c r="G1338" s="1045"/>
      <c r="H1338" s="1045"/>
      <c r="I1338" s="1045"/>
      <c r="J1338" s="1045"/>
      <c r="K1338" s="1045"/>
      <c r="L1338" s="1045"/>
      <c r="M1338" s="1045"/>
    </row>
    <row r="1339" spans="1:13" x14ac:dyDescent="0.2">
      <c r="A1339" s="693">
        <v>1335</v>
      </c>
      <c r="B1339" s="749" t="str">
        <f t="shared" si="21"/>
        <v>Nuts of iron or steel other than stainless, with an inside diameter &gt; 12 mm (excl. blind rivet nuts and self-locking nuts)</v>
      </c>
      <c r="C1339" s="749" t="s">
        <v>2849</v>
      </c>
      <c r="D1339" s="1045"/>
      <c r="E1339" s="1045"/>
      <c r="F1339" s="1045"/>
      <c r="G1339" s="1045"/>
      <c r="H1339" s="1045"/>
      <c r="I1339" s="1045"/>
      <c r="J1339" s="1045"/>
      <c r="K1339" s="1045"/>
      <c r="L1339" s="1045"/>
      <c r="M1339" s="1045"/>
    </row>
    <row r="1340" spans="1:13" x14ac:dyDescent="0.2">
      <c r="A1340" s="693">
        <v>1336</v>
      </c>
      <c r="B1340" s="749" t="str">
        <f t="shared" si="21"/>
        <v>Threaded articles, of iron or steel, n.e.s.</v>
      </c>
      <c r="C1340" s="749" t="s">
        <v>2851</v>
      </c>
      <c r="D1340" s="1045"/>
      <c r="E1340" s="1045"/>
      <c r="F1340" s="1045"/>
      <c r="G1340" s="1045"/>
      <c r="H1340" s="1045"/>
      <c r="I1340" s="1045"/>
      <c r="J1340" s="1045"/>
      <c r="K1340" s="1045"/>
      <c r="L1340" s="1045"/>
      <c r="M1340" s="1045"/>
    </row>
    <row r="1341" spans="1:13" x14ac:dyDescent="0.2">
      <c r="A1341" s="693">
        <v>1337</v>
      </c>
      <c r="B1341" s="749" t="str">
        <f t="shared" si="21"/>
        <v>Spring washers and other lock washers, of iron or steel</v>
      </c>
      <c r="C1341" s="749" t="s">
        <v>2853</v>
      </c>
      <c r="D1341" s="1045"/>
      <c r="E1341" s="1045"/>
      <c r="F1341" s="1045"/>
      <c r="G1341" s="1045"/>
      <c r="H1341" s="1045"/>
      <c r="I1341" s="1045"/>
      <c r="J1341" s="1045"/>
      <c r="K1341" s="1045"/>
      <c r="L1341" s="1045"/>
      <c r="M1341" s="1045"/>
    </row>
    <row r="1342" spans="1:13" x14ac:dyDescent="0.2">
      <c r="A1342" s="693">
        <v>1338</v>
      </c>
      <c r="B1342" s="749" t="str">
        <f t="shared" si="21"/>
        <v>Washers of iron or steel (excl. spring washers and other lock washers)</v>
      </c>
      <c r="C1342" s="749" t="s">
        <v>2855</v>
      </c>
      <c r="D1342" s="1045"/>
      <c r="E1342" s="1045"/>
      <c r="F1342" s="1045"/>
      <c r="G1342" s="1045"/>
      <c r="H1342" s="1045"/>
      <c r="I1342" s="1045"/>
      <c r="J1342" s="1045"/>
      <c r="K1342" s="1045"/>
      <c r="L1342" s="1045"/>
      <c r="M1342" s="1045"/>
    </row>
    <row r="1343" spans="1:13" x14ac:dyDescent="0.2">
      <c r="A1343" s="693">
        <v>1339</v>
      </c>
      <c r="B1343" s="749" t="str">
        <f t="shared" si="21"/>
        <v>Rivets of iron or steel (excl. tubular and bifurcated rivets for particular uses)</v>
      </c>
      <c r="C1343" s="749" t="s">
        <v>2857</v>
      </c>
      <c r="D1343" s="1045"/>
      <c r="E1343" s="1045"/>
      <c r="F1343" s="1045"/>
      <c r="G1343" s="1045"/>
      <c r="H1343" s="1045"/>
      <c r="I1343" s="1045"/>
      <c r="J1343" s="1045"/>
      <c r="K1343" s="1045"/>
      <c r="L1343" s="1045"/>
      <c r="M1343" s="1045"/>
    </row>
    <row r="1344" spans="1:13" x14ac:dyDescent="0.2">
      <c r="A1344" s="693">
        <v>1340</v>
      </c>
      <c r="B1344" s="749" t="str">
        <f t="shared" si="21"/>
        <v>Cotters and cotter pins, of iron or steel</v>
      </c>
      <c r="C1344" s="749" t="s">
        <v>2859</v>
      </c>
      <c r="D1344" s="1045"/>
      <c r="E1344" s="1045"/>
      <c r="F1344" s="1045"/>
      <c r="G1344" s="1045"/>
      <c r="H1344" s="1045"/>
      <c r="I1344" s="1045"/>
      <c r="J1344" s="1045"/>
      <c r="K1344" s="1045"/>
      <c r="L1344" s="1045"/>
      <c r="M1344" s="1045"/>
    </row>
    <row r="1345" spans="1:13" x14ac:dyDescent="0.2">
      <c r="A1345" s="693">
        <v>1341</v>
      </c>
      <c r="B1345" s="749" t="str">
        <f t="shared" si="21"/>
        <v>Non-threaded articles, of iron or steel</v>
      </c>
      <c r="C1345" s="749" t="s">
        <v>2861</v>
      </c>
      <c r="D1345" s="1045"/>
      <c r="E1345" s="1045"/>
      <c r="F1345" s="1045"/>
      <c r="G1345" s="1045"/>
      <c r="H1345" s="1045"/>
      <c r="I1345" s="1045"/>
      <c r="J1345" s="1045"/>
      <c r="K1345" s="1045"/>
      <c r="L1345" s="1045"/>
      <c r="M1345" s="1045"/>
    </row>
    <row r="1346" spans="1:13" x14ac:dyDescent="0.2">
      <c r="A1346" s="693">
        <v>1342</v>
      </c>
      <c r="B1346" s="749" t="str">
        <f t="shared" si="21"/>
        <v>Articles of iron or steel, n.e.s. (excl. cast articles)</v>
      </c>
      <c r="C1346" s="749" t="s">
        <v>2863</v>
      </c>
      <c r="D1346" s="1045"/>
      <c r="E1346" s="1045"/>
      <c r="F1346" s="1045"/>
      <c r="G1346" s="1045"/>
      <c r="H1346" s="1045"/>
      <c r="I1346" s="1045"/>
      <c r="J1346" s="1045"/>
      <c r="K1346" s="1045"/>
      <c r="L1346" s="1045"/>
      <c r="M1346" s="1045"/>
    </row>
    <row r="1347" spans="1:13" x14ac:dyDescent="0.2">
      <c r="A1347" s="693">
        <v>1343</v>
      </c>
      <c r="B1347" s="749" t="str">
        <f t="shared" si="21"/>
        <v>Grinding balls and similar articles for mills, of iron or steel, forged or stamped, but not further worked</v>
      </c>
      <c r="C1347" s="749" t="s">
        <v>2865</v>
      </c>
      <c r="D1347" s="1045"/>
      <c r="E1347" s="1045"/>
      <c r="F1347" s="1045"/>
      <c r="G1347" s="1045"/>
      <c r="H1347" s="1045"/>
      <c r="I1347" s="1045"/>
      <c r="J1347" s="1045"/>
      <c r="K1347" s="1045"/>
      <c r="L1347" s="1045"/>
      <c r="M1347" s="1045"/>
    </row>
    <row r="1348" spans="1:13" x14ac:dyDescent="0.2">
      <c r="A1348" s="693">
        <v>1344</v>
      </c>
      <c r="B1348" s="749" t="str">
        <f t="shared" si="21"/>
        <v>Articles of iron or steel, forged or stamped, but not further worked, n.e.s. (excl. grinding balls and similar articles for mills)</v>
      </c>
      <c r="C1348" s="749" t="s">
        <v>2867</v>
      </c>
      <c r="D1348" s="1045"/>
      <c r="E1348" s="1045"/>
      <c r="F1348" s="1045"/>
      <c r="G1348" s="1045"/>
      <c r="H1348" s="1045"/>
      <c r="I1348" s="1045"/>
      <c r="J1348" s="1045"/>
      <c r="K1348" s="1045"/>
      <c r="L1348" s="1045"/>
      <c r="M1348" s="1045"/>
    </row>
    <row r="1349" spans="1:13" x14ac:dyDescent="0.2">
      <c r="A1349" s="693">
        <v>1345</v>
      </c>
      <c r="B1349" s="749" t="str">
        <f t="shared" si="21"/>
        <v>Articles of iron or steel, open-die forged, but not further worked, n.e.s. (excl. grinding balls and similar articles for mills)</v>
      </c>
      <c r="C1349" s="749" t="s">
        <v>2869</v>
      </c>
      <c r="D1349" s="1045"/>
      <c r="E1349" s="1045"/>
      <c r="F1349" s="1045"/>
      <c r="G1349" s="1045"/>
      <c r="H1349" s="1045"/>
      <c r="I1349" s="1045"/>
      <c r="J1349" s="1045"/>
      <c r="K1349" s="1045"/>
      <c r="L1349" s="1045"/>
      <c r="M1349" s="1045"/>
    </row>
    <row r="1350" spans="1:13" x14ac:dyDescent="0.2">
      <c r="A1350" s="693">
        <v>1346</v>
      </c>
      <c r="B1350" s="749" t="str">
        <f t="shared" si="21"/>
        <v>Articles of iron or steel, closed-die forged or stamped, but not further worked, n.e.s. (excl. grinding balls and similar articles for mills)</v>
      </c>
      <c r="C1350" s="749" t="s">
        <v>2871</v>
      </c>
      <c r="D1350" s="1045"/>
      <c r="E1350" s="1045"/>
      <c r="F1350" s="1045"/>
      <c r="G1350" s="1045"/>
      <c r="H1350" s="1045"/>
      <c r="I1350" s="1045"/>
      <c r="J1350" s="1045"/>
      <c r="K1350" s="1045"/>
      <c r="L1350" s="1045"/>
      <c r="M1350" s="1045"/>
    </row>
    <row r="1351" spans="1:13" x14ac:dyDescent="0.2">
      <c r="A1351" s="693">
        <v>1347</v>
      </c>
      <c r="B1351" s="749" t="str">
        <f t="shared" si="21"/>
        <v>Articles of iron or steel wire, n.e.s.</v>
      </c>
      <c r="C1351" s="749" t="s">
        <v>2873</v>
      </c>
      <c r="D1351" s="1045"/>
      <c r="E1351" s="1045"/>
      <c r="F1351" s="1045"/>
      <c r="G1351" s="1045"/>
      <c r="H1351" s="1045"/>
      <c r="I1351" s="1045"/>
      <c r="J1351" s="1045"/>
      <c r="K1351" s="1045"/>
      <c r="L1351" s="1045"/>
      <c r="M1351" s="1045"/>
    </row>
    <row r="1352" spans="1:13" x14ac:dyDescent="0.2">
      <c r="A1352" s="693">
        <v>1348</v>
      </c>
      <c r="B1352" s="749" t="str">
        <f t="shared" si="21"/>
        <v>Articles of iron or steel, n.e.s. (excl. cast articles or articles of iron or steel wire)</v>
      </c>
      <c r="C1352" s="749" t="s">
        <v>2875</v>
      </c>
      <c r="D1352" s="1045"/>
      <c r="E1352" s="1045"/>
      <c r="F1352" s="1045"/>
      <c r="G1352" s="1045"/>
      <c r="H1352" s="1045"/>
      <c r="I1352" s="1045"/>
      <c r="J1352" s="1045"/>
      <c r="K1352" s="1045"/>
      <c r="L1352" s="1045"/>
      <c r="M1352" s="1045"/>
    </row>
    <row r="1353" spans="1:13" x14ac:dyDescent="0.2">
      <c r="A1353" s="693">
        <v>1349</v>
      </c>
      <c r="B1353" s="749" t="str">
        <f t="shared" si="21"/>
        <v>Ladders and steps, of iron or steel</v>
      </c>
      <c r="C1353" s="749" t="s">
        <v>2877</v>
      </c>
      <c r="D1353" s="1045"/>
      <c r="E1353" s="1045"/>
      <c r="F1353" s="1045"/>
      <c r="G1353" s="1045"/>
      <c r="H1353" s="1045"/>
      <c r="I1353" s="1045"/>
      <c r="J1353" s="1045"/>
      <c r="K1353" s="1045"/>
      <c r="L1353" s="1045"/>
      <c r="M1353" s="1045"/>
    </row>
    <row r="1354" spans="1:13" x14ac:dyDescent="0.2">
      <c r="A1354" s="693">
        <v>1350</v>
      </c>
      <c r="B1354" s="749" t="str">
        <f t="shared" si="21"/>
        <v>Pallets and similar platforms for handling goods, of iron or steel</v>
      </c>
      <c r="C1354" s="749" t="s">
        <v>2879</v>
      </c>
      <c r="D1354" s="1045"/>
      <c r="E1354" s="1045"/>
      <c r="F1354" s="1045"/>
      <c r="G1354" s="1045"/>
      <c r="H1354" s="1045"/>
      <c r="I1354" s="1045"/>
      <c r="J1354" s="1045"/>
      <c r="K1354" s="1045"/>
      <c r="L1354" s="1045"/>
      <c r="M1354" s="1045"/>
    </row>
    <row r="1355" spans="1:13" x14ac:dyDescent="0.2">
      <c r="A1355" s="693">
        <v>1351</v>
      </c>
      <c r="B1355" s="749" t="str">
        <f t="shared" ref="B1355:B1418" si="22">IFERROR(INDEX(C1355:M1355,$A$4-2),$C1355)</f>
        <v>Reels for cables, piping and the like, of iron or steel</v>
      </c>
      <c r="C1355" s="749" t="s">
        <v>2881</v>
      </c>
      <c r="D1355" s="1045"/>
      <c r="E1355" s="1045"/>
      <c r="F1355" s="1045"/>
      <c r="G1355" s="1045"/>
      <c r="H1355" s="1045"/>
      <c r="I1355" s="1045"/>
      <c r="J1355" s="1045"/>
      <c r="K1355" s="1045"/>
      <c r="L1355" s="1045"/>
      <c r="M1355" s="1045"/>
    </row>
    <row r="1356" spans="1:13" x14ac:dyDescent="0.2">
      <c r="A1356" s="693">
        <v>1352</v>
      </c>
      <c r="B1356" s="749" t="str">
        <f t="shared" si="22"/>
        <v>Ventilators, non-mechanical, guttering, hooks and like articles used in the building industry, n.e.s., of iron or steel</v>
      </c>
      <c r="C1356" s="749" t="s">
        <v>2883</v>
      </c>
      <c r="D1356" s="1045"/>
      <c r="E1356" s="1045"/>
      <c r="F1356" s="1045"/>
      <c r="G1356" s="1045"/>
      <c r="H1356" s="1045"/>
      <c r="I1356" s="1045"/>
      <c r="J1356" s="1045"/>
      <c r="K1356" s="1045"/>
      <c r="L1356" s="1045"/>
      <c r="M1356" s="1045"/>
    </row>
    <row r="1357" spans="1:13" x14ac:dyDescent="0.2">
      <c r="A1357" s="693">
        <v>1353</v>
      </c>
      <c r="B1357" s="749" t="str">
        <f t="shared" si="22"/>
        <v>Articles of iron or steel, open-die forged, n.e.s.</v>
      </c>
      <c r="C1357" s="749" t="s">
        <v>2885</v>
      </c>
      <c r="D1357" s="1045"/>
      <c r="E1357" s="1045"/>
      <c r="F1357" s="1045"/>
      <c r="G1357" s="1045"/>
      <c r="H1357" s="1045"/>
      <c r="I1357" s="1045"/>
      <c r="J1357" s="1045"/>
      <c r="K1357" s="1045"/>
      <c r="L1357" s="1045"/>
      <c r="M1357" s="1045"/>
    </row>
    <row r="1358" spans="1:13" x14ac:dyDescent="0.2">
      <c r="A1358" s="693">
        <v>1354</v>
      </c>
      <c r="B1358" s="749" t="str">
        <f t="shared" si="22"/>
        <v>Articles of iron or steel, closed-die forged, n.e.s.</v>
      </c>
      <c r="C1358" s="749" t="s">
        <v>2887</v>
      </c>
      <c r="D1358" s="1045"/>
      <c r="E1358" s="1045"/>
      <c r="F1358" s="1045"/>
      <c r="G1358" s="1045"/>
      <c r="H1358" s="1045"/>
      <c r="I1358" s="1045"/>
      <c r="J1358" s="1045"/>
      <c r="K1358" s="1045"/>
      <c r="L1358" s="1045"/>
      <c r="M1358" s="1045"/>
    </row>
    <row r="1359" spans="1:13" x14ac:dyDescent="0.2">
      <c r="A1359" s="693">
        <v>1355</v>
      </c>
      <c r="B1359" s="749" t="str">
        <f t="shared" si="22"/>
        <v>Sintered articles of iron or steel, n.e.s.</v>
      </c>
      <c r="C1359" s="749" t="s">
        <v>2889</v>
      </c>
      <c r="D1359" s="1045"/>
      <c r="E1359" s="1045"/>
      <c r="F1359" s="1045"/>
      <c r="G1359" s="1045"/>
      <c r="H1359" s="1045"/>
      <c r="I1359" s="1045"/>
      <c r="J1359" s="1045"/>
      <c r="K1359" s="1045"/>
      <c r="L1359" s="1045"/>
      <c r="M1359" s="1045"/>
    </row>
    <row r="1360" spans="1:13" x14ac:dyDescent="0.2">
      <c r="A1360" s="693">
        <v>1356</v>
      </c>
      <c r="B1360" s="749" t="str">
        <f t="shared" si="22"/>
        <v>Articles of iron or steel, n.e.s.</v>
      </c>
      <c r="C1360" s="749" t="s">
        <v>2891</v>
      </c>
      <c r="D1360" s="1045"/>
      <c r="E1360" s="1045"/>
      <c r="F1360" s="1045"/>
      <c r="G1360" s="1045"/>
      <c r="H1360" s="1045"/>
      <c r="I1360" s="1045"/>
      <c r="J1360" s="1045"/>
      <c r="K1360" s="1045"/>
      <c r="L1360" s="1045"/>
      <c r="M1360" s="1045"/>
    </row>
    <row r="1361" spans="1:13" x14ac:dyDescent="0.2">
      <c r="A1361" s="693">
        <v>1357</v>
      </c>
      <c r="B1361" s="749" t="str">
        <f t="shared" si="22"/>
        <v>Aluminium, not alloyed, unwrought</v>
      </c>
      <c r="C1361" s="749" t="s">
        <v>2895</v>
      </c>
      <c r="D1361" s="1045"/>
      <c r="E1361" s="1045"/>
      <c r="F1361" s="1045"/>
      <c r="G1361" s="1045"/>
      <c r="H1361" s="1045"/>
      <c r="I1361" s="1045"/>
      <c r="J1361" s="1045"/>
      <c r="K1361" s="1045"/>
      <c r="L1361" s="1045"/>
      <c r="M1361" s="1045"/>
    </row>
    <row r="1362" spans="1:13" x14ac:dyDescent="0.2">
      <c r="A1362" s="693">
        <v>1358</v>
      </c>
      <c r="B1362" s="749" t="str">
        <f t="shared" si="22"/>
        <v>Unwrought aluminium alloys</v>
      </c>
      <c r="C1362" s="749" t="s">
        <v>2897</v>
      </c>
      <c r="D1362" s="1045"/>
      <c r="E1362" s="1045"/>
      <c r="F1362" s="1045"/>
      <c r="G1362" s="1045"/>
      <c r="H1362" s="1045"/>
      <c r="I1362" s="1045"/>
      <c r="J1362" s="1045"/>
      <c r="K1362" s="1045"/>
      <c r="L1362" s="1045"/>
      <c r="M1362" s="1045"/>
    </row>
    <row r="1363" spans="1:13" x14ac:dyDescent="0.2">
      <c r="A1363" s="693">
        <v>1359</v>
      </c>
      <c r="B1363" s="749" t="str">
        <f t="shared" si="22"/>
        <v>Unwrought aluminium alloys in the form of slabs or billets</v>
      </c>
      <c r="C1363" s="749" t="s">
        <v>2899</v>
      </c>
      <c r="D1363" s="1045"/>
      <c r="E1363" s="1045"/>
      <c r="F1363" s="1045"/>
      <c r="G1363" s="1045"/>
      <c r="H1363" s="1045"/>
      <c r="I1363" s="1045"/>
      <c r="J1363" s="1045"/>
      <c r="K1363" s="1045"/>
      <c r="L1363" s="1045"/>
      <c r="M1363" s="1045"/>
    </row>
    <row r="1364" spans="1:13" x14ac:dyDescent="0.2">
      <c r="A1364" s="693">
        <v>1360</v>
      </c>
      <c r="B1364" s="749" t="str">
        <f t="shared" si="22"/>
        <v>Unwrought aluminium alloys (excl. slabs and billets)</v>
      </c>
      <c r="C1364" s="749" t="s">
        <v>2901</v>
      </c>
      <c r="D1364" s="1045"/>
      <c r="E1364" s="1045"/>
      <c r="F1364" s="1045"/>
      <c r="G1364" s="1045"/>
      <c r="H1364" s="1045"/>
      <c r="I1364" s="1045"/>
      <c r="J1364" s="1045"/>
      <c r="K1364" s="1045"/>
      <c r="L1364" s="1045"/>
      <c r="M1364" s="1045"/>
    </row>
    <row r="1365" spans="1:13" x14ac:dyDescent="0.2">
      <c r="A1365" s="693">
        <v>1361</v>
      </c>
      <c r="B1365" s="749" t="str">
        <f t="shared" si="22"/>
        <v>Powder and flakes, of aluminium (excl. pellets of aluminium, and spangles)</v>
      </c>
      <c r="C1365" s="749" t="s">
        <v>2903</v>
      </c>
      <c r="D1365" s="1045"/>
      <c r="E1365" s="1045"/>
      <c r="F1365" s="1045"/>
      <c r="G1365" s="1045"/>
      <c r="H1365" s="1045"/>
      <c r="I1365" s="1045"/>
      <c r="J1365" s="1045"/>
      <c r="K1365" s="1045"/>
      <c r="L1365" s="1045"/>
      <c r="M1365" s="1045"/>
    </row>
    <row r="1366" spans="1:13" x14ac:dyDescent="0.2">
      <c r="A1366" s="693">
        <v>1362</v>
      </c>
      <c r="B1366" s="749" t="str">
        <f t="shared" si="22"/>
        <v>Powders of aluminium, of non-lamellar structure (excl. pellets of aluminium)</v>
      </c>
      <c r="C1366" s="749" t="s">
        <v>2905</v>
      </c>
      <c r="D1366" s="1045"/>
      <c r="E1366" s="1045"/>
      <c r="F1366" s="1045"/>
      <c r="G1366" s="1045"/>
      <c r="H1366" s="1045"/>
      <c r="I1366" s="1045"/>
      <c r="J1366" s="1045"/>
      <c r="K1366" s="1045"/>
      <c r="L1366" s="1045"/>
      <c r="M1366" s="1045"/>
    </row>
    <row r="1367" spans="1:13" x14ac:dyDescent="0.2">
      <c r="A1367" s="693">
        <v>1363</v>
      </c>
      <c r="B1367" s="749" t="str">
        <f t="shared" si="22"/>
        <v>Powders of aluminium, of lamellar structure, and flakes of aluminium (excl. pellets of aluminium, and spangles)</v>
      </c>
      <c r="C1367" s="749" t="s">
        <v>2907</v>
      </c>
      <c r="D1367" s="1045"/>
      <c r="E1367" s="1045"/>
      <c r="F1367" s="1045"/>
      <c r="G1367" s="1045"/>
      <c r="H1367" s="1045"/>
      <c r="I1367" s="1045"/>
      <c r="J1367" s="1045"/>
      <c r="K1367" s="1045"/>
      <c r="L1367" s="1045"/>
      <c r="M1367" s="1045"/>
    </row>
    <row r="1368" spans="1:13" x14ac:dyDescent="0.2">
      <c r="A1368" s="693">
        <v>1364</v>
      </c>
      <c r="B1368" s="749" t="str">
        <f t="shared" si="22"/>
        <v>Bars, rods and profiles, of aluminium, n.e.s.</v>
      </c>
      <c r="C1368" s="749" t="s">
        <v>2909</v>
      </c>
      <c r="D1368" s="1045"/>
      <c r="E1368" s="1045"/>
      <c r="F1368" s="1045"/>
      <c r="G1368" s="1045"/>
      <c r="H1368" s="1045"/>
      <c r="I1368" s="1045"/>
      <c r="J1368" s="1045"/>
      <c r="K1368" s="1045"/>
      <c r="L1368" s="1045"/>
      <c r="M1368" s="1045"/>
    </row>
    <row r="1369" spans="1:13" x14ac:dyDescent="0.2">
      <c r="A1369" s="693">
        <v>1365</v>
      </c>
      <c r="B1369" s="749" t="str">
        <f t="shared" si="22"/>
        <v>Bars, rods and profiles, of non-alloy aluminium, n.e.s.</v>
      </c>
      <c r="C1369" s="749" t="s">
        <v>2911</v>
      </c>
      <c r="D1369" s="1045"/>
      <c r="E1369" s="1045"/>
      <c r="F1369" s="1045"/>
      <c r="G1369" s="1045"/>
      <c r="H1369" s="1045"/>
      <c r="I1369" s="1045"/>
      <c r="J1369" s="1045"/>
      <c r="K1369" s="1045"/>
      <c r="L1369" s="1045"/>
      <c r="M1369" s="1045"/>
    </row>
    <row r="1370" spans="1:13" x14ac:dyDescent="0.2">
      <c r="A1370" s="693">
        <v>1366</v>
      </c>
      <c r="B1370" s="749" t="str">
        <f t="shared" si="22"/>
        <v>Bars, rods and profiles, of non-alloy aluminium</v>
      </c>
      <c r="C1370" s="749" t="s">
        <v>2913</v>
      </c>
      <c r="D1370" s="1045"/>
      <c r="E1370" s="1045"/>
      <c r="F1370" s="1045"/>
      <c r="G1370" s="1045"/>
      <c r="H1370" s="1045"/>
      <c r="I1370" s="1045"/>
      <c r="J1370" s="1045"/>
      <c r="K1370" s="1045"/>
      <c r="L1370" s="1045"/>
      <c r="M1370" s="1045"/>
    </row>
    <row r="1371" spans="1:13" x14ac:dyDescent="0.2">
      <c r="A1371" s="693">
        <v>1367</v>
      </c>
      <c r="B1371" s="749" t="str">
        <f t="shared" si="22"/>
        <v>Profiles of non-alloy aluminium, n.e.s.</v>
      </c>
      <c r="C1371" s="749" t="s">
        <v>2915</v>
      </c>
      <c r="D1371" s="1045"/>
      <c r="E1371" s="1045"/>
      <c r="F1371" s="1045"/>
      <c r="G1371" s="1045"/>
      <c r="H1371" s="1045"/>
      <c r="I1371" s="1045"/>
      <c r="J1371" s="1045"/>
      <c r="K1371" s="1045"/>
      <c r="L1371" s="1045"/>
      <c r="M1371" s="1045"/>
    </row>
    <row r="1372" spans="1:13" x14ac:dyDescent="0.2">
      <c r="A1372" s="693">
        <v>1368</v>
      </c>
      <c r="B1372" s="749" t="str">
        <f t="shared" si="22"/>
        <v>Hollow profiles of aluminium alloys, n.e.s.</v>
      </c>
      <c r="C1372" s="749" t="s">
        <v>2917</v>
      </c>
      <c r="D1372" s="1045"/>
      <c r="E1372" s="1045"/>
      <c r="F1372" s="1045"/>
      <c r="G1372" s="1045"/>
      <c r="H1372" s="1045"/>
      <c r="I1372" s="1045"/>
      <c r="J1372" s="1045"/>
      <c r="K1372" s="1045"/>
      <c r="L1372" s="1045"/>
      <c r="M1372" s="1045"/>
    </row>
    <row r="1373" spans="1:13" x14ac:dyDescent="0.2">
      <c r="A1373" s="693">
        <v>1369</v>
      </c>
      <c r="B1373" s="749" t="str">
        <f t="shared" si="22"/>
        <v>Bars, rods and solid profiles, of aluminium alloys, n.e.s.</v>
      </c>
      <c r="C1373" s="749" t="s">
        <v>2919</v>
      </c>
      <c r="D1373" s="1045"/>
      <c r="E1373" s="1045"/>
      <c r="F1373" s="1045"/>
      <c r="G1373" s="1045"/>
      <c r="H1373" s="1045"/>
      <c r="I1373" s="1045"/>
      <c r="J1373" s="1045"/>
      <c r="K1373" s="1045"/>
      <c r="L1373" s="1045"/>
      <c r="M1373" s="1045"/>
    </row>
    <row r="1374" spans="1:13" x14ac:dyDescent="0.2">
      <c r="A1374" s="693">
        <v>1370</v>
      </c>
      <c r="B1374" s="749" t="str">
        <f t="shared" si="22"/>
        <v>Bars and rods of aluminium alloys</v>
      </c>
      <c r="C1374" s="749" t="s">
        <v>2921</v>
      </c>
      <c r="D1374" s="1045"/>
      <c r="E1374" s="1045"/>
      <c r="F1374" s="1045"/>
      <c r="G1374" s="1045"/>
      <c r="H1374" s="1045"/>
      <c r="I1374" s="1045"/>
      <c r="J1374" s="1045"/>
      <c r="K1374" s="1045"/>
      <c r="L1374" s="1045"/>
      <c r="M1374" s="1045"/>
    </row>
    <row r="1375" spans="1:13" x14ac:dyDescent="0.2">
      <c r="A1375" s="693">
        <v>1371</v>
      </c>
      <c r="B1375" s="749" t="str">
        <f t="shared" si="22"/>
        <v>Solid profiles, of aluminium alloys, n.e.s.</v>
      </c>
      <c r="C1375" s="749" t="s">
        <v>2923</v>
      </c>
      <c r="D1375" s="1045"/>
      <c r="E1375" s="1045"/>
      <c r="F1375" s="1045"/>
      <c r="G1375" s="1045"/>
      <c r="H1375" s="1045"/>
      <c r="I1375" s="1045"/>
      <c r="J1375" s="1045"/>
      <c r="K1375" s="1045"/>
      <c r="L1375" s="1045"/>
      <c r="M1375" s="1045"/>
    </row>
    <row r="1376" spans="1:13" x14ac:dyDescent="0.2">
      <c r="A1376" s="693">
        <v>1372</v>
      </c>
      <c r="B1376" s="749" t="str">
        <f t="shared" si="22"/>
        <v>Aluminium wire (excl. stranded wire, cables, plaited bands and the like and other articles of heading 7614, electrically insulated wires, and strings for musical instruments)</v>
      </c>
      <c r="C1376" s="749" t="s">
        <v>2925</v>
      </c>
      <c r="D1376" s="1045"/>
      <c r="E1376" s="1045"/>
      <c r="F1376" s="1045"/>
      <c r="G1376" s="1045"/>
      <c r="H1376" s="1045"/>
      <c r="I1376" s="1045"/>
      <c r="J1376" s="1045"/>
      <c r="K1376" s="1045"/>
      <c r="L1376" s="1045"/>
      <c r="M1376" s="1045"/>
    </row>
    <row r="1377" spans="1:13" x14ac:dyDescent="0.2">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2927</v>
      </c>
      <c r="D1377" s="1045"/>
      <c r="E1377" s="1045"/>
      <c r="F1377" s="1045"/>
      <c r="G1377" s="1045"/>
      <c r="H1377" s="1045"/>
      <c r="I1377" s="1045"/>
      <c r="J1377" s="1045"/>
      <c r="K1377" s="1045"/>
      <c r="L1377" s="1045"/>
      <c r="M1377" s="1045"/>
    </row>
    <row r="1378" spans="1:13" x14ac:dyDescent="0.2">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2929</v>
      </c>
      <c r="D1378" s="1045"/>
      <c r="E1378" s="1045"/>
      <c r="F1378" s="1045"/>
      <c r="G1378" s="1045"/>
      <c r="H1378" s="1045"/>
      <c r="I1378" s="1045"/>
      <c r="J1378" s="1045"/>
      <c r="K1378" s="1045"/>
      <c r="L1378" s="1045"/>
      <c r="M1378" s="1045"/>
    </row>
    <row r="1379" spans="1:13" x14ac:dyDescent="0.2">
      <c r="A1379" s="693">
        <v>1375</v>
      </c>
      <c r="B1379" s="749" t="str">
        <f t="shared" si="22"/>
        <v>Wire of aluminium alloys, with a maximum cross-sectional dimension of &gt; 7 mm (excl. stranded wire, cables, plaited bands and the like and other articles of heading 7614, and electrically insulated wires)</v>
      </c>
      <c r="C1379" s="749" t="s">
        <v>2931</v>
      </c>
      <c r="D1379" s="1045"/>
      <c r="E1379" s="1045"/>
      <c r="F1379" s="1045"/>
      <c r="G1379" s="1045"/>
      <c r="H1379" s="1045"/>
      <c r="I1379" s="1045"/>
      <c r="J1379" s="1045"/>
      <c r="K1379" s="1045"/>
      <c r="L1379" s="1045"/>
      <c r="M1379" s="1045"/>
    </row>
    <row r="1380" spans="1:13" x14ac:dyDescent="0.2">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2933</v>
      </c>
      <c r="D1380" s="1045"/>
      <c r="E1380" s="1045"/>
      <c r="F1380" s="1045"/>
      <c r="G1380" s="1045"/>
      <c r="H1380" s="1045"/>
      <c r="I1380" s="1045"/>
      <c r="J1380" s="1045"/>
      <c r="K1380" s="1045"/>
      <c r="L1380" s="1045"/>
      <c r="M1380" s="1045"/>
    </row>
    <row r="1381" spans="1:13" x14ac:dyDescent="0.2">
      <c r="A1381" s="693">
        <v>1377</v>
      </c>
      <c r="B1381" s="749" t="str">
        <f t="shared" si="22"/>
        <v>Plates, sheets and strip, of aluminium, of a thickness of &gt; 0,2 mm (excl. expanded plates, sheets and strip)</v>
      </c>
      <c r="C1381" s="749" t="s">
        <v>2935</v>
      </c>
      <c r="D1381" s="1045"/>
      <c r="E1381" s="1045"/>
      <c r="F1381" s="1045"/>
      <c r="G1381" s="1045"/>
      <c r="H1381" s="1045"/>
      <c r="I1381" s="1045"/>
      <c r="J1381" s="1045"/>
      <c r="K1381" s="1045"/>
      <c r="L1381" s="1045"/>
      <c r="M1381" s="1045"/>
    </row>
    <row r="1382" spans="1:13" x14ac:dyDescent="0.2">
      <c r="A1382" s="693">
        <v>1378</v>
      </c>
      <c r="B1382" s="749" t="str">
        <f t="shared" si="22"/>
        <v>Plates, sheets and strip, of non-alloy aluminium, of a thickness of &gt; 0,2 mm, square or rectangular (excl. expanded plates, sheets and strip)</v>
      </c>
      <c r="C1382" s="749" t="s">
        <v>2937</v>
      </c>
      <c r="D1382" s="1045"/>
      <c r="E1382" s="1045"/>
      <c r="F1382" s="1045"/>
      <c r="G1382" s="1045"/>
      <c r="H1382" s="1045"/>
      <c r="I1382" s="1045"/>
      <c r="J1382" s="1045"/>
      <c r="K1382" s="1045"/>
      <c r="L1382" s="1045"/>
      <c r="M1382" s="1045"/>
    </row>
    <row r="1383" spans="1:13" x14ac:dyDescent="0.2">
      <c r="A1383" s="693">
        <v>1379</v>
      </c>
      <c r="B1383" s="749" t="str">
        <f t="shared" si="22"/>
        <v>Aluminium Composite Panel, of non-alloy aluminium, of a thickness of &gt; 0,2 mm</v>
      </c>
      <c r="C1383" s="749" t="s">
        <v>2939</v>
      </c>
      <c r="D1383" s="1045"/>
      <c r="E1383" s="1045"/>
      <c r="F1383" s="1045"/>
      <c r="G1383" s="1045"/>
      <c r="H1383" s="1045"/>
      <c r="I1383" s="1045"/>
      <c r="J1383" s="1045"/>
      <c r="K1383" s="1045"/>
      <c r="L1383" s="1045"/>
      <c r="M1383" s="1045"/>
    </row>
    <row r="1384" spans="1:13" x14ac:dyDescent="0.2">
      <c r="A1384" s="693">
        <v>1380</v>
      </c>
      <c r="B1384" s="749" t="str">
        <f t="shared" si="22"/>
        <v>Plates, sheets and strip, of non-alloy aluminium, of a thickness of &gt; 0,2 mm, square or rectangular, painted, varnished or coated with plastics (excl. Aluminium Composite Panel)</v>
      </c>
      <c r="C1384" s="749" t="s">
        <v>2941</v>
      </c>
      <c r="D1384" s="1045"/>
      <c r="E1384" s="1045"/>
      <c r="F1384" s="1045"/>
      <c r="G1384" s="1045"/>
      <c r="H1384" s="1045"/>
      <c r="I1384" s="1045"/>
      <c r="J1384" s="1045"/>
      <c r="K1384" s="1045"/>
      <c r="L1384" s="1045"/>
      <c r="M1384" s="1045"/>
    </row>
    <row r="1385" spans="1:13" x14ac:dyDescent="0.2">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2943</v>
      </c>
      <c r="D1385" s="1045"/>
      <c r="E1385" s="1045"/>
      <c r="F1385" s="1045"/>
      <c r="G1385" s="1045"/>
      <c r="H1385" s="1045"/>
      <c r="I1385" s="1045"/>
      <c r="J1385" s="1045"/>
      <c r="K1385" s="1045"/>
      <c r="L1385" s="1045"/>
      <c r="M1385" s="1045"/>
    </row>
    <row r="1386" spans="1:13" x14ac:dyDescent="0.2">
      <c r="A1386" s="693">
        <v>1382</v>
      </c>
      <c r="B1386" s="749" t="str">
        <f t="shared" si="22"/>
        <v>Plates, sheets and strip, of non-alloy aluminium, of a thickness of &gt;= 3 mm but &lt; 6 mm, square or rectangular (excl. such products painted, varnished or coated with plastics)</v>
      </c>
      <c r="C1386" s="749" t="s">
        <v>2945</v>
      </c>
      <c r="D1386" s="1045"/>
      <c r="E1386" s="1045"/>
      <c r="F1386" s="1045"/>
      <c r="G1386" s="1045"/>
      <c r="H1386" s="1045"/>
      <c r="I1386" s="1045"/>
      <c r="J1386" s="1045"/>
      <c r="K1386" s="1045"/>
      <c r="L1386" s="1045"/>
      <c r="M1386" s="1045"/>
    </row>
    <row r="1387" spans="1:13" x14ac:dyDescent="0.2">
      <c r="A1387" s="693">
        <v>1383</v>
      </c>
      <c r="B1387" s="749" t="str">
        <f t="shared" si="22"/>
        <v>Plates, sheets and strip, of non-alloy aluminium, of a thickness of &gt;= 6 mm, square or rectangular (excl. such products painted, varnished or coated with plastics)</v>
      </c>
      <c r="C1387" s="749" t="s">
        <v>2947</v>
      </c>
      <c r="D1387" s="1045"/>
      <c r="E1387" s="1045"/>
      <c r="F1387" s="1045"/>
      <c r="G1387" s="1045"/>
      <c r="H1387" s="1045"/>
      <c r="I1387" s="1045"/>
      <c r="J1387" s="1045"/>
      <c r="K1387" s="1045"/>
      <c r="L1387" s="1045"/>
      <c r="M1387" s="1045"/>
    </row>
    <row r="1388" spans="1:13" x14ac:dyDescent="0.2">
      <c r="A1388" s="693">
        <v>1384</v>
      </c>
      <c r="B1388" s="749" t="str">
        <f t="shared" si="22"/>
        <v>Plates, sheets and strip, of aluminium alloys, of a thickness of &gt; 0,2 mm, square or rectangular (excl. expanded plates, sheets and strip)</v>
      </c>
      <c r="C1388" s="749" t="s">
        <v>2949</v>
      </c>
      <c r="D1388" s="1045"/>
      <c r="E1388" s="1045"/>
      <c r="F1388" s="1045"/>
      <c r="G1388" s="1045"/>
      <c r="H1388" s="1045"/>
      <c r="I1388" s="1045"/>
      <c r="J1388" s="1045"/>
      <c r="K1388" s="1045"/>
      <c r="L1388" s="1045"/>
      <c r="M1388" s="1045"/>
    </row>
    <row r="1389" spans="1:13" x14ac:dyDescent="0.2">
      <c r="A1389" s="693">
        <v>1385</v>
      </c>
      <c r="B1389" s="749" t="str">
        <f t="shared" si="22"/>
        <v>Beverage can body stock, of aluminium alloys, of a thickness of &gt; 0,2 mm</v>
      </c>
      <c r="C1389" s="749" t="s">
        <v>2951</v>
      </c>
      <c r="D1389" s="1045"/>
      <c r="E1389" s="1045"/>
      <c r="F1389" s="1045"/>
      <c r="G1389" s="1045"/>
      <c r="H1389" s="1045"/>
      <c r="I1389" s="1045"/>
      <c r="J1389" s="1045"/>
      <c r="K1389" s="1045"/>
      <c r="L1389" s="1045"/>
      <c r="M1389" s="1045"/>
    </row>
    <row r="1390" spans="1:13" x14ac:dyDescent="0.2">
      <c r="A1390" s="693">
        <v>1386</v>
      </c>
      <c r="B1390" s="749" t="str">
        <f t="shared" si="22"/>
        <v>Beverage can end stock and tab stock, of aluminium alloys, of a thickness of &gt; 0,2 mm</v>
      </c>
      <c r="C1390" s="749" t="s">
        <v>2953</v>
      </c>
      <c r="D1390" s="1045"/>
      <c r="E1390" s="1045"/>
      <c r="F1390" s="1045"/>
      <c r="G1390" s="1045"/>
      <c r="H1390" s="1045"/>
      <c r="I1390" s="1045"/>
      <c r="J1390" s="1045"/>
      <c r="K1390" s="1045"/>
      <c r="L1390" s="1045"/>
      <c r="M1390" s="1045"/>
    </row>
    <row r="1391" spans="1:13" x14ac:dyDescent="0.2">
      <c r="A1391" s="693">
        <v>1387</v>
      </c>
      <c r="B1391" s="749" t="str">
        <f t="shared" si="22"/>
        <v>Aluminium Composite Panel, of aluminium alloys, of a thickness of &gt; 0,2 mm</v>
      </c>
      <c r="C1391" s="749" t="s">
        <v>2955</v>
      </c>
      <c r="D1391" s="1045"/>
      <c r="E1391" s="1045"/>
      <c r="F1391" s="1045"/>
      <c r="G1391" s="1045"/>
      <c r="H1391" s="1045"/>
      <c r="I1391" s="1045"/>
      <c r="J1391" s="1045"/>
      <c r="K1391" s="1045"/>
      <c r="L1391" s="1045"/>
      <c r="M1391" s="1045"/>
    </row>
    <row r="1392" spans="1:13" x14ac:dyDescent="0.2">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2957</v>
      </c>
      <c r="D1392" s="1045"/>
      <c r="E1392" s="1045"/>
      <c r="F1392" s="1045"/>
      <c r="G1392" s="1045"/>
      <c r="H1392" s="1045"/>
      <c r="I1392" s="1045"/>
      <c r="J1392" s="1045"/>
      <c r="K1392" s="1045"/>
      <c r="L1392" s="1045"/>
      <c r="M1392" s="1045"/>
    </row>
    <row r="1393" spans="1:13" x14ac:dyDescent="0.2">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2959</v>
      </c>
      <c r="D1393" s="1045"/>
      <c r="E1393" s="1045"/>
      <c r="F1393" s="1045"/>
      <c r="G1393" s="1045"/>
      <c r="H1393" s="1045"/>
      <c r="I1393" s="1045"/>
      <c r="J1393" s="1045"/>
      <c r="K1393" s="1045"/>
      <c r="L1393" s="1045"/>
      <c r="M1393" s="1045"/>
    </row>
    <row r="1394" spans="1:13" x14ac:dyDescent="0.2">
      <c r="A1394" s="693">
        <v>1390</v>
      </c>
      <c r="B1394" s="749" t="str">
        <f t="shared" si="22"/>
        <v>Plates, sheets and strip, of aluminium alloys, of a thickness of &gt;= 3 mm but &lt; 6 mm, square or rectangular (excl. such products painted, varnished or coated with plastics)</v>
      </c>
      <c r="C1394" s="749" t="s">
        <v>2961</v>
      </c>
      <c r="D1394" s="1045"/>
      <c r="E1394" s="1045"/>
      <c r="F1394" s="1045"/>
      <c r="G1394" s="1045"/>
      <c r="H1394" s="1045"/>
      <c r="I1394" s="1045"/>
      <c r="J1394" s="1045"/>
      <c r="K1394" s="1045"/>
      <c r="L1394" s="1045"/>
      <c r="M1394" s="1045"/>
    </row>
    <row r="1395" spans="1:13" x14ac:dyDescent="0.2">
      <c r="A1395" s="693">
        <v>1391</v>
      </c>
      <c r="B1395" s="749" t="str">
        <f t="shared" si="22"/>
        <v>Plates, sheets and strip, of aluminium alloys, of a thickness of &gt;= 6 mm, square or rectangular (excl. such products painted, varnished or coated with plastics)</v>
      </c>
      <c r="C1395" s="749" t="s">
        <v>2963</v>
      </c>
      <c r="D1395" s="1045"/>
      <c r="E1395" s="1045"/>
      <c r="F1395" s="1045"/>
      <c r="G1395" s="1045"/>
      <c r="H1395" s="1045"/>
      <c r="I1395" s="1045"/>
      <c r="J1395" s="1045"/>
      <c r="K1395" s="1045"/>
      <c r="L1395" s="1045"/>
      <c r="M1395" s="1045"/>
    </row>
    <row r="1396" spans="1:13" x14ac:dyDescent="0.2">
      <c r="A1396" s="693">
        <v>1392</v>
      </c>
      <c r="B1396" s="749" t="str">
        <f t="shared" si="22"/>
        <v>Plates, sheets and strip, of non-alloy aluminium, of a thickness of &gt; 0,2 mm (other than square or rectangular)</v>
      </c>
      <c r="C1396" s="749" t="s">
        <v>2965</v>
      </c>
      <c r="D1396" s="1045"/>
      <c r="E1396" s="1045"/>
      <c r="F1396" s="1045"/>
      <c r="G1396" s="1045"/>
      <c r="H1396" s="1045"/>
      <c r="I1396" s="1045"/>
      <c r="J1396" s="1045"/>
      <c r="K1396" s="1045"/>
      <c r="L1396" s="1045"/>
      <c r="M1396" s="1045"/>
    </row>
    <row r="1397" spans="1:13" x14ac:dyDescent="0.2">
      <c r="A1397" s="693">
        <v>1393</v>
      </c>
      <c r="B1397" s="749" t="str">
        <f t="shared" si="22"/>
        <v>Plates, sheets and strip, of aluminium alloys, of a thickness of &gt; 0,2 mm (other than square or rectangular)</v>
      </c>
      <c r="C1397" s="749" t="s">
        <v>2967</v>
      </c>
      <c r="D1397" s="1045"/>
      <c r="E1397" s="1045"/>
      <c r="F1397" s="1045"/>
      <c r="G1397" s="1045"/>
      <c r="H1397" s="1045"/>
      <c r="I1397" s="1045"/>
      <c r="J1397" s="1045"/>
      <c r="K1397" s="1045"/>
      <c r="L1397" s="1045"/>
      <c r="M1397" s="1045"/>
    </row>
    <row r="1398" spans="1:13" x14ac:dyDescent="0.2">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2969</v>
      </c>
      <c r="D1398" s="1045"/>
      <c r="E1398" s="1045"/>
      <c r="F1398" s="1045"/>
      <c r="G1398" s="1045"/>
      <c r="H1398" s="1045"/>
      <c r="I1398" s="1045"/>
      <c r="J1398" s="1045"/>
      <c r="K1398" s="1045"/>
      <c r="L1398" s="1045"/>
      <c r="M1398" s="1045"/>
    </row>
    <row r="1399" spans="1:13" x14ac:dyDescent="0.2">
      <c r="A1399" s="693">
        <v>1395</v>
      </c>
      <c r="B1399" s="749" t="str">
        <f t="shared" si="22"/>
        <v>Aluminium foil, not backed, rolled but not further worked, of a thickness of &lt;= 0,2 mm (excl. stamping foils of heading 3212, and foil made up as christmas tree decorating material)</v>
      </c>
      <c r="C1399" s="749" t="s">
        <v>2971</v>
      </c>
      <c r="D1399" s="1045"/>
      <c r="E1399" s="1045"/>
      <c r="F1399" s="1045"/>
      <c r="G1399" s="1045"/>
      <c r="H1399" s="1045"/>
      <c r="I1399" s="1045"/>
      <c r="J1399" s="1045"/>
      <c r="K1399" s="1045"/>
      <c r="L1399" s="1045"/>
      <c r="M1399" s="1045"/>
    </row>
    <row r="1400" spans="1:13" x14ac:dyDescent="0.2">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2973</v>
      </c>
      <c r="D1400" s="1045"/>
      <c r="E1400" s="1045"/>
      <c r="F1400" s="1045"/>
      <c r="G1400" s="1045"/>
      <c r="H1400" s="1045"/>
      <c r="I1400" s="1045"/>
      <c r="J1400" s="1045"/>
      <c r="K1400" s="1045"/>
      <c r="L1400" s="1045"/>
      <c r="M1400" s="1045"/>
    </row>
    <row r="1401" spans="1:13" x14ac:dyDescent="0.2">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2975</v>
      </c>
      <c r="D1401" s="1045"/>
      <c r="E1401" s="1045"/>
      <c r="F1401" s="1045"/>
      <c r="G1401" s="1045"/>
      <c r="H1401" s="1045"/>
      <c r="I1401" s="1045"/>
      <c r="J1401" s="1045"/>
      <c r="K1401" s="1045"/>
      <c r="L1401" s="1045"/>
      <c r="M1401" s="1045"/>
    </row>
    <row r="1402" spans="1:13" x14ac:dyDescent="0.2">
      <c r="A1402" s="693">
        <v>1398</v>
      </c>
      <c r="B1402" s="749" t="str">
        <f t="shared" si="22"/>
        <v>Aluminium foil, not backed, rolled but not further worked, of a thickness of &gt;= 0,021 mm but &lt;= 2 mm (excl. stamping foils of heading 3212, and foil made up as christmas tree decorating material)</v>
      </c>
      <c r="C1402" s="749" t="s">
        <v>2977</v>
      </c>
      <c r="D1402" s="1045"/>
      <c r="E1402" s="1045"/>
      <c r="F1402" s="1045"/>
      <c r="G1402" s="1045"/>
      <c r="H1402" s="1045"/>
      <c r="I1402" s="1045"/>
      <c r="J1402" s="1045"/>
      <c r="K1402" s="1045"/>
      <c r="L1402" s="1045"/>
      <c r="M1402" s="1045"/>
    </row>
    <row r="1403" spans="1:13" x14ac:dyDescent="0.2">
      <c r="A1403" s="693">
        <v>1399</v>
      </c>
      <c r="B1403" s="749" t="str">
        <f t="shared" si="22"/>
        <v>Aluminium foil, not backed, rolled and further worked, of a thickness of &lt;= 2 mm (excl. stamping foils of heading 3212, and foil made up as christmas tree decorating material)</v>
      </c>
      <c r="C1403" s="749" t="s">
        <v>2979</v>
      </c>
      <c r="D1403" s="1045"/>
      <c r="E1403" s="1045"/>
      <c r="F1403" s="1045"/>
      <c r="G1403" s="1045"/>
      <c r="H1403" s="1045"/>
      <c r="I1403" s="1045"/>
      <c r="J1403" s="1045"/>
      <c r="K1403" s="1045"/>
      <c r="L1403" s="1045"/>
      <c r="M1403" s="1045"/>
    </row>
    <row r="1404" spans="1:13" x14ac:dyDescent="0.2">
      <c r="A1404" s="693">
        <v>1400</v>
      </c>
      <c r="B1404" s="749" t="str">
        <f t="shared" si="22"/>
        <v>Aluminium foil, not backed, rolled and further worked, of a thickness of &lt; 0,021 mm (excl. stamping foils of heading 3212, and foil made up as christmas tree decorating material)</v>
      </c>
      <c r="C1404" s="749" t="s">
        <v>2981</v>
      </c>
      <c r="D1404" s="1045"/>
      <c r="E1404" s="1045"/>
      <c r="F1404" s="1045"/>
      <c r="G1404" s="1045"/>
      <c r="H1404" s="1045"/>
      <c r="I1404" s="1045"/>
      <c r="J1404" s="1045"/>
      <c r="K1404" s="1045"/>
      <c r="L1404" s="1045"/>
      <c r="M1404" s="1045"/>
    </row>
    <row r="1405" spans="1:13" x14ac:dyDescent="0.2">
      <c r="A1405" s="693">
        <v>1401</v>
      </c>
      <c r="B1405" s="749" t="str">
        <f t="shared" si="22"/>
        <v>Aluminium foil, not backed, rolled and further worked, of a thickness (excl. any backing) from 0,021 mm to 0,2 mm (excl. stamping foils of heading 3212, and foil made up as christmas tree decorating material)</v>
      </c>
      <c r="C1405" s="749" t="s">
        <v>2983</v>
      </c>
      <c r="D1405" s="1045"/>
      <c r="E1405" s="1045"/>
      <c r="F1405" s="1045"/>
      <c r="G1405" s="1045"/>
      <c r="H1405" s="1045"/>
      <c r="I1405" s="1045"/>
      <c r="J1405" s="1045"/>
      <c r="K1405" s="1045"/>
      <c r="L1405" s="1045"/>
      <c r="M1405" s="1045"/>
    </row>
    <row r="1406" spans="1:13" x14ac:dyDescent="0.2">
      <c r="A1406" s="693">
        <v>1402</v>
      </c>
      <c r="B1406" s="749" t="str">
        <f t="shared" si="22"/>
        <v>Aluminium foil, backed, of a thickness (excl. any backing) of &lt;= 0,2 mm (excl. stamping foils of heading 3212, and foil made up as christmas tree decorating material)</v>
      </c>
      <c r="C1406" s="749" t="s">
        <v>2985</v>
      </c>
      <c r="D1406" s="1045"/>
      <c r="E1406" s="1045"/>
      <c r="F1406" s="1045"/>
      <c r="G1406" s="1045"/>
      <c r="H1406" s="1045"/>
      <c r="I1406" s="1045"/>
      <c r="J1406" s="1045"/>
      <c r="K1406" s="1045"/>
      <c r="L1406" s="1045"/>
      <c r="M1406" s="1045"/>
    </row>
    <row r="1407" spans="1:13" x14ac:dyDescent="0.2">
      <c r="A1407" s="693">
        <v>1403</v>
      </c>
      <c r="B1407" s="749" t="str">
        <f t="shared" si="22"/>
        <v>Aluminium foil, backed, of a thickness (excl. any backing) of &lt; 0,021 mm (excl. stamping foils of heading 3212, and foil made up as christmas tree decorating material)</v>
      </c>
      <c r="C1407" s="749" t="s">
        <v>2987</v>
      </c>
      <c r="D1407" s="1045"/>
      <c r="E1407" s="1045"/>
      <c r="F1407" s="1045"/>
      <c r="G1407" s="1045"/>
      <c r="H1407" s="1045"/>
      <c r="I1407" s="1045"/>
      <c r="J1407" s="1045"/>
      <c r="K1407" s="1045"/>
      <c r="L1407" s="1045"/>
      <c r="M1407" s="1045"/>
    </row>
    <row r="1408" spans="1:13" x14ac:dyDescent="0.2">
      <c r="A1408" s="693">
        <v>1404</v>
      </c>
      <c r="B1408" s="749" t="str">
        <f t="shared" si="22"/>
        <v>Aluminium Composite Panel, of a thickness &lt;= 0,2 mm</v>
      </c>
      <c r="C1408" s="749" t="s">
        <v>2989</v>
      </c>
      <c r="D1408" s="1045"/>
      <c r="E1408" s="1045"/>
      <c r="F1408" s="1045"/>
      <c r="G1408" s="1045"/>
      <c r="H1408" s="1045"/>
      <c r="I1408" s="1045"/>
      <c r="J1408" s="1045"/>
      <c r="K1408" s="1045"/>
      <c r="L1408" s="1045"/>
      <c r="M1408" s="1045"/>
    </row>
    <row r="1409" spans="1:13" x14ac:dyDescent="0.2">
      <c r="A1409" s="693">
        <v>1405</v>
      </c>
      <c r="B1409" s="749" t="str">
        <f t="shared" si="22"/>
        <v>Aluminium foil, backed, of a thickness (excl. any backing) of &gt;= 0,021 mm but &lt;= 0,2 mm (excl. stamping foils of heading 3212, foil made up as christmas tree decorating material, and Aluminium Composite Panel)</v>
      </c>
      <c r="C1409" s="749" t="s">
        <v>2991</v>
      </c>
      <c r="D1409" s="1045"/>
      <c r="E1409" s="1045"/>
      <c r="F1409" s="1045"/>
      <c r="G1409" s="1045"/>
      <c r="H1409" s="1045"/>
      <c r="I1409" s="1045"/>
      <c r="J1409" s="1045"/>
      <c r="K1409" s="1045"/>
      <c r="L1409" s="1045"/>
      <c r="M1409" s="1045"/>
    </row>
    <row r="1410" spans="1:13" x14ac:dyDescent="0.2">
      <c r="A1410" s="693">
        <v>1406</v>
      </c>
      <c r="B1410" s="749" t="str">
        <f t="shared" si="22"/>
        <v>Aluminium tubes and pipes (excl. hollow profiles)</v>
      </c>
      <c r="C1410" s="749" t="s">
        <v>2993</v>
      </c>
      <c r="D1410" s="1045"/>
      <c r="E1410" s="1045"/>
      <c r="F1410" s="1045"/>
      <c r="G1410" s="1045"/>
      <c r="H1410" s="1045"/>
      <c r="I1410" s="1045"/>
      <c r="J1410" s="1045"/>
      <c r="K1410" s="1045"/>
      <c r="L1410" s="1045"/>
      <c r="M1410" s="1045"/>
    </row>
    <row r="1411" spans="1:13" x14ac:dyDescent="0.2">
      <c r="A1411" s="693">
        <v>1407</v>
      </c>
      <c r="B1411" s="749" t="str">
        <f t="shared" si="22"/>
        <v>Tubes and pipes of non-alloy aluminium (excl. hollow profiles)</v>
      </c>
      <c r="C1411" s="749" t="s">
        <v>2995</v>
      </c>
      <c r="D1411" s="1045"/>
      <c r="E1411" s="1045"/>
      <c r="F1411" s="1045"/>
      <c r="G1411" s="1045"/>
      <c r="H1411" s="1045"/>
      <c r="I1411" s="1045"/>
      <c r="J1411" s="1045"/>
      <c r="K1411" s="1045"/>
      <c r="L1411" s="1045"/>
      <c r="M1411" s="1045"/>
    </row>
    <row r="1412" spans="1:13" x14ac:dyDescent="0.2">
      <c r="A1412" s="693">
        <v>1408</v>
      </c>
      <c r="B1412" s="749" t="str">
        <f t="shared" si="22"/>
        <v>Tubes and pipes of aluminium alloys (excl. hollow profiles)</v>
      </c>
      <c r="C1412" s="749" t="s">
        <v>2997</v>
      </c>
      <c r="D1412" s="1045"/>
      <c r="E1412" s="1045"/>
      <c r="F1412" s="1045"/>
      <c r="G1412" s="1045"/>
      <c r="H1412" s="1045"/>
      <c r="I1412" s="1045"/>
      <c r="J1412" s="1045"/>
      <c r="K1412" s="1045"/>
      <c r="L1412" s="1045"/>
      <c r="M1412" s="1045"/>
    </row>
    <row r="1413" spans="1:13" x14ac:dyDescent="0.2">
      <c r="A1413" s="693">
        <v>1409</v>
      </c>
      <c r="B1413" s="749" t="str">
        <f t="shared" si="22"/>
        <v>Tubes and pipes of aluminium alloys, welded (excl. hollow profiles)</v>
      </c>
      <c r="C1413" s="749" t="s">
        <v>2999</v>
      </c>
      <c r="D1413" s="1045"/>
      <c r="E1413" s="1045"/>
      <c r="F1413" s="1045"/>
      <c r="G1413" s="1045"/>
      <c r="H1413" s="1045"/>
      <c r="I1413" s="1045"/>
      <c r="J1413" s="1045"/>
      <c r="K1413" s="1045"/>
      <c r="L1413" s="1045"/>
      <c r="M1413" s="1045"/>
    </row>
    <row r="1414" spans="1:13" x14ac:dyDescent="0.2">
      <c r="A1414" s="693">
        <v>1410</v>
      </c>
      <c r="B1414" s="749" t="str">
        <f t="shared" si="22"/>
        <v>Tubes and pipes of aluminium alloys, not further worked than extruded (excl. hollow profiles)</v>
      </c>
      <c r="C1414" s="749" t="s">
        <v>3001</v>
      </c>
      <c r="D1414" s="1045"/>
      <c r="E1414" s="1045"/>
      <c r="F1414" s="1045"/>
      <c r="G1414" s="1045"/>
      <c r="H1414" s="1045"/>
      <c r="I1414" s="1045"/>
      <c r="J1414" s="1045"/>
      <c r="K1414" s="1045"/>
      <c r="L1414" s="1045"/>
      <c r="M1414" s="1045"/>
    </row>
    <row r="1415" spans="1:13" x14ac:dyDescent="0.2">
      <c r="A1415" s="693">
        <v>1411</v>
      </c>
      <c r="B1415" s="749" t="str">
        <f t="shared" si="22"/>
        <v>Tubes and pipes of aluminium alloys (excl. such products welded or not further worked than extruded, and hollow profiles)</v>
      </c>
      <c r="C1415" s="749" t="s">
        <v>3003</v>
      </c>
      <c r="D1415" s="1045"/>
      <c r="E1415" s="1045"/>
      <c r="F1415" s="1045"/>
      <c r="G1415" s="1045"/>
      <c r="H1415" s="1045"/>
      <c r="I1415" s="1045"/>
      <c r="J1415" s="1045"/>
      <c r="K1415" s="1045"/>
      <c r="L1415" s="1045"/>
      <c r="M1415" s="1045"/>
    </row>
    <row r="1416" spans="1:13" x14ac:dyDescent="0.2">
      <c r="A1416" s="693">
        <v>1412</v>
      </c>
      <c r="B1416" s="749" t="str">
        <f t="shared" si="22"/>
        <v>Aluminium tube or pipe fittings "e.g., couplings, elbows, sleeves"</v>
      </c>
      <c r="C1416" s="749" t="s">
        <v>3005</v>
      </c>
      <c r="D1416" s="1045"/>
      <c r="E1416" s="1045"/>
      <c r="F1416" s="1045"/>
      <c r="G1416" s="1045"/>
      <c r="H1416" s="1045"/>
      <c r="I1416" s="1045"/>
      <c r="J1416" s="1045"/>
      <c r="K1416" s="1045"/>
      <c r="L1416" s="1045"/>
      <c r="M1416" s="1045"/>
    </row>
    <row r="1417" spans="1:13" x14ac:dyDescent="0.2">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3007</v>
      </c>
      <c r="D1417" s="1045"/>
      <c r="E1417" s="1045"/>
      <c r="F1417" s="1045"/>
      <c r="G1417" s="1045"/>
      <c r="H1417" s="1045"/>
      <c r="I1417" s="1045"/>
      <c r="J1417" s="1045"/>
      <c r="K1417" s="1045"/>
      <c r="L1417" s="1045"/>
      <c r="M1417" s="1045"/>
    </row>
    <row r="1418" spans="1:13" x14ac:dyDescent="0.2">
      <c r="A1418" s="693">
        <v>1414</v>
      </c>
      <c r="B1418" s="749" t="str">
        <f t="shared" si="22"/>
        <v>Doors, windows and their frames and thresholds for door, of aluminium (excl. door furniture)</v>
      </c>
      <c r="C1418" s="749" t="s">
        <v>3009</v>
      </c>
      <c r="D1418" s="1045"/>
      <c r="E1418" s="1045"/>
      <c r="F1418" s="1045"/>
      <c r="G1418" s="1045"/>
      <c r="H1418" s="1045"/>
      <c r="I1418" s="1045"/>
      <c r="J1418" s="1045"/>
      <c r="K1418" s="1045"/>
      <c r="L1418" s="1045"/>
      <c r="M1418" s="1045"/>
    </row>
    <row r="1419" spans="1:13" x14ac:dyDescent="0.2">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3011</v>
      </c>
      <c r="D1419" s="1045"/>
      <c r="E1419" s="1045"/>
      <c r="F1419" s="1045"/>
      <c r="G1419" s="1045"/>
      <c r="H1419" s="1045"/>
      <c r="I1419" s="1045"/>
      <c r="J1419" s="1045"/>
      <c r="K1419" s="1045"/>
      <c r="L1419" s="1045"/>
      <c r="M1419" s="1045"/>
    </row>
    <row r="1420" spans="1:13" x14ac:dyDescent="0.2">
      <c r="A1420" s="693">
        <v>1416</v>
      </c>
      <c r="B1420" s="749" t="str">
        <f t="shared" si="23"/>
        <v>Bridges and bridge-sections, towers and lattice masts, of aluminium</v>
      </c>
      <c r="C1420" s="749" t="s">
        <v>3013</v>
      </c>
      <c r="D1420" s="1045"/>
      <c r="E1420" s="1045"/>
      <c r="F1420" s="1045"/>
      <c r="G1420" s="1045"/>
      <c r="H1420" s="1045"/>
      <c r="I1420" s="1045"/>
      <c r="J1420" s="1045"/>
      <c r="K1420" s="1045"/>
      <c r="L1420" s="1045"/>
      <c r="M1420" s="1045"/>
    </row>
    <row r="1421" spans="1:13" x14ac:dyDescent="0.2">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3015</v>
      </c>
      <c r="D1421" s="1045"/>
      <c r="E1421" s="1045"/>
      <c r="F1421" s="1045"/>
      <c r="G1421" s="1045"/>
      <c r="H1421" s="1045"/>
      <c r="I1421" s="1045"/>
      <c r="J1421" s="1045"/>
      <c r="K1421" s="1045"/>
      <c r="L1421" s="1045"/>
      <c r="M1421" s="1045"/>
    </row>
    <row r="1422" spans="1:13" x14ac:dyDescent="0.2">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3017</v>
      </c>
      <c r="D1422" s="1045"/>
      <c r="E1422" s="1045"/>
      <c r="F1422" s="1045"/>
      <c r="G1422" s="1045"/>
      <c r="H1422" s="1045"/>
      <c r="I1422" s="1045"/>
      <c r="J1422" s="1045"/>
      <c r="K1422" s="1045"/>
      <c r="L1422" s="1045"/>
      <c r="M1422" s="1045"/>
    </row>
    <row r="1423" spans="1:13" x14ac:dyDescent="0.2">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3019</v>
      </c>
      <c r="D1423" s="1045"/>
      <c r="E1423" s="1045"/>
      <c r="F1423" s="1045"/>
      <c r="G1423" s="1045"/>
      <c r="H1423" s="1045"/>
      <c r="I1423" s="1045"/>
      <c r="J1423" s="1045"/>
      <c r="K1423" s="1045"/>
      <c r="L1423" s="1045"/>
      <c r="M1423" s="1045"/>
    </row>
    <row r="1424" spans="1:13" x14ac:dyDescent="0.2">
      <c r="A1424" s="693">
        <v>1420</v>
      </c>
      <c r="B1424" s="749" t="str">
        <f t="shared" si="23"/>
        <v>Collapsible tubular containers, of aluminium</v>
      </c>
      <c r="C1424" s="749" t="s">
        <v>3021</v>
      </c>
      <c r="D1424" s="1045"/>
      <c r="E1424" s="1045"/>
      <c r="F1424" s="1045"/>
      <c r="G1424" s="1045"/>
      <c r="H1424" s="1045"/>
      <c r="I1424" s="1045"/>
      <c r="J1424" s="1045"/>
      <c r="K1424" s="1045"/>
      <c r="L1424" s="1045"/>
      <c r="M1424" s="1045"/>
    </row>
    <row r="1425" spans="1:13" x14ac:dyDescent="0.2">
      <c r="A1425" s="693">
        <v>1421</v>
      </c>
      <c r="B1425" s="749" t="str">
        <f t="shared" si="23"/>
        <v>Casks, drums, cans, boxes and similar containers, incl. rigid tubular containers, of aluminium, for any material (other than compressed or liquefied gas), of a capacity of &lt;= 300 l, n.e.s.</v>
      </c>
      <c r="C1425" s="749" t="s">
        <v>3023</v>
      </c>
      <c r="D1425" s="1045"/>
      <c r="E1425" s="1045"/>
      <c r="F1425" s="1045"/>
      <c r="G1425" s="1045"/>
      <c r="H1425" s="1045"/>
      <c r="I1425" s="1045"/>
      <c r="J1425" s="1045"/>
      <c r="K1425" s="1045"/>
      <c r="L1425" s="1045"/>
      <c r="M1425" s="1045"/>
    </row>
    <row r="1426" spans="1:13" x14ac:dyDescent="0.2">
      <c r="A1426" s="693">
        <v>1422</v>
      </c>
      <c r="B1426" s="749" t="str">
        <f t="shared" si="23"/>
        <v>Containers of a kind used for aerosols, of aluminium</v>
      </c>
      <c r="C1426" s="749" t="s">
        <v>3025</v>
      </c>
      <c r="D1426" s="1045"/>
      <c r="E1426" s="1045"/>
      <c r="F1426" s="1045"/>
      <c r="G1426" s="1045"/>
      <c r="H1426" s="1045"/>
      <c r="I1426" s="1045"/>
      <c r="J1426" s="1045"/>
      <c r="K1426" s="1045"/>
      <c r="L1426" s="1045"/>
      <c r="M1426" s="1045"/>
    </row>
    <row r="1427" spans="1:13" x14ac:dyDescent="0.2">
      <c r="A1427" s="693">
        <v>1423</v>
      </c>
      <c r="B1427" s="749" t="str">
        <f t="shared" si="23"/>
        <v>Casks, drums, cans, boxes and similar containers, of aluminium, manufactured from foil of a thickness &lt;= 0,2 mm</v>
      </c>
      <c r="C1427" s="749" t="s">
        <v>3027</v>
      </c>
      <c r="D1427" s="1045"/>
      <c r="E1427" s="1045"/>
      <c r="F1427" s="1045"/>
      <c r="G1427" s="1045"/>
      <c r="H1427" s="1045"/>
      <c r="I1427" s="1045"/>
      <c r="J1427" s="1045"/>
      <c r="K1427" s="1045"/>
      <c r="L1427" s="1045"/>
      <c r="M1427" s="1045"/>
    </row>
    <row r="1428" spans="1:13" x14ac:dyDescent="0.2">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3029</v>
      </c>
      <c r="D1428" s="1045"/>
      <c r="E1428" s="1045"/>
      <c r="F1428" s="1045"/>
      <c r="G1428" s="1045"/>
      <c r="H1428" s="1045"/>
      <c r="I1428" s="1045"/>
      <c r="J1428" s="1045"/>
      <c r="K1428" s="1045"/>
      <c r="L1428" s="1045"/>
      <c r="M1428" s="1045"/>
    </row>
    <row r="1429" spans="1:13" x14ac:dyDescent="0.2">
      <c r="A1429" s="693">
        <v>1425</v>
      </c>
      <c r="B1429" s="749" t="str">
        <f t="shared" si="23"/>
        <v>Aluminium containers for compressed or liquefied gas</v>
      </c>
      <c r="C1429" s="749" t="s">
        <v>3031</v>
      </c>
      <c r="D1429" s="1045"/>
      <c r="E1429" s="1045"/>
      <c r="F1429" s="1045"/>
      <c r="G1429" s="1045"/>
      <c r="H1429" s="1045"/>
      <c r="I1429" s="1045"/>
      <c r="J1429" s="1045"/>
      <c r="K1429" s="1045"/>
      <c r="L1429" s="1045"/>
      <c r="M1429" s="1045"/>
    </row>
    <row r="1430" spans="1:13" x14ac:dyDescent="0.2">
      <c r="A1430" s="693">
        <v>1426</v>
      </c>
      <c r="B1430" s="749" t="str">
        <f t="shared" si="23"/>
        <v>Stranded wire, cables, plaited bands and the like, of aluminium (excl. such products electrically insulated)</v>
      </c>
      <c r="C1430" s="749" t="s">
        <v>3033</v>
      </c>
      <c r="D1430" s="1045"/>
      <c r="E1430" s="1045"/>
      <c r="F1430" s="1045"/>
      <c r="G1430" s="1045"/>
      <c r="H1430" s="1045"/>
      <c r="I1430" s="1045"/>
      <c r="J1430" s="1045"/>
      <c r="K1430" s="1045"/>
      <c r="L1430" s="1045"/>
      <c r="M1430" s="1045"/>
    </row>
    <row r="1431" spans="1:13" x14ac:dyDescent="0.2">
      <c r="A1431" s="693">
        <v>1427</v>
      </c>
      <c r="B1431" s="749" t="str">
        <f t="shared" si="23"/>
        <v>Stranded wire, cables, plaited bands and the like, of aluminium, with steel core (excl. such products electrically insulated)</v>
      </c>
      <c r="C1431" s="749" t="s">
        <v>3035</v>
      </c>
      <c r="D1431" s="1045"/>
      <c r="E1431" s="1045"/>
      <c r="F1431" s="1045"/>
      <c r="G1431" s="1045"/>
      <c r="H1431" s="1045"/>
      <c r="I1431" s="1045"/>
      <c r="J1431" s="1045"/>
      <c r="K1431" s="1045"/>
      <c r="L1431" s="1045"/>
      <c r="M1431" s="1045"/>
    </row>
    <row r="1432" spans="1:13" x14ac:dyDescent="0.2">
      <c r="A1432" s="693">
        <v>1428</v>
      </c>
      <c r="B1432" s="749" t="str">
        <f t="shared" si="23"/>
        <v>Stranded wires, cables, ropes and similar articles, of aluminium (other than with steel core and electrically insulated products)</v>
      </c>
      <c r="C1432" s="749" t="s">
        <v>3037</v>
      </c>
      <c r="D1432" s="1045"/>
      <c r="E1432" s="1045"/>
      <c r="F1432" s="1045"/>
      <c r="G1432" s="1045"/>
      <c r="H1432" s="1045"/>
      <c r="I1432" s="1045"/>
      <c r="J1432" s="1045"/>
      <c r="K1432" s="1045"/>
      <c r="L1432" s="1045"/>
      <c r="M1432" s="1045"/>
    </row>
    <row r="1433" spans="1:13" x14ac:dyDescent="0.2">
      <c r="A1433" s="693">
        <v>1429</v>
      </c>
      <c r="B1433" s="749" t="str">
        <f t="shared" si="23"/>
        <v>Articles of aluminium, n.e.s.</v>
      </c>
      <c r="C1433" s="749" t="s">
        <v>3039</v>
      </c>
      <c r="D1433" s="1045"/>
      <c r="E1433" s="1045"/>
      <c r="F1433" s="1045"/>
      <c r="G1433" s="1045"/>
      <c r="H1433" s="1045"/>
      <c r="I1433" s="1045"/>
      <c r="J1433" s="1045"/>
      <c r="K1433" s="1045"/>
      <c r="L1433" s="1045"/>
      <c r="M1433" s="1045"/>
    </row>
    <row r="1434" spans="1:13" x14ac:dyDescent="0.2">
      <c r="A1434" s="693">
        <v>1430</v>
      </c>
      <c r="B1434" s="749" t="str">
        <f t="shared" si="23"/>
        <v>Nails, tacks, staples, screws, bolts, nuts, screw hooks, rivets, cotters, cotter pins, washers and similar articles, of aluminium (excl. staples in strips, plugs, bungs and the like, threaded)</v>
      </c>
      <c r="C1434" s="749" t="s">
        <v>3041</v>
      </c>
      <c r="D1434" s="1045"/>
      <c r="E1434" s="1045"/>
      <c r="F1434" s="1045"/>
      <c r="G1434" s="1045"/>
      <c r="H1434" s="1045"/>
      <c r="I1434" s="1045"/>
      <c r="J1434" s="1045"/>
      <c r="K1434" s="1045"/>
      <c r="L1434" s="1045"/>
      <c r="M1434" s="1045"/>
    </row>
    <row r="1435" spans="1:13" x14ac:dyDescent="0.2">
      <c r="A1435" s="693">
        <v>1431</v>
      </c>
      <c r="B1435" s="749" t="str">
        <f t="shared" si="23"/>
        <v>Cloth, grill, netting and fencing, of aluminium wire (excl. cloth of metal fibres for clothing, lining and similar uses, and cloth, grill and netting made into hand sieves or machine parts)</v>
      </c>
      <c r="C1435" s="749" t="s">
        <v>3043</v>
      </c>
      <c r="D1435" s="1045"/>
      <c r="E1435" s="1045"/>
      <c r="F1435" s="1045"/>
      <c r="G1435" s="1045"/>
      <c r="H1435" s="1045"/>
      <c r="I1435" s="1045"/>
      <c r="J1435" s="1045"/>
      <c r="K1435" s="1045"/>
      <c r="L1435" s="1045"/>
      <c r="M1435" s="1045"/>
    </row>
    <row r="1436" spans="1:13" x14ac:dyDescent="0.2">
      <c r="A1436" s="693">
        <v>1432</v>
      </c>
      <c r="B1436" s="749" t="str">
        <f t="shared" si="23"/>
        <v>Articles of aluminium, cast, n.e.s.</v>
      </c>
      <c r="C1436" s="749" t="s">
        <v>3046</v>
      </c>
      <c r="D1436" s="1045"/>
      <c r="E1436" s="1045"/>
      <c r="F1436" s="1045"/>
      <c r="G1436" s="1045"/>
      <c r="H1436" s="1045"/>
      <c r="I1436" s="1045"/>
      <c r="J1436" s="1045"/>
      <c r="K1436" s="1045"/>
      <c r="L1436" s="1045"/>
      <c r="M1436" s="1045"/>
    </row>
    <row r="1437" spans="1:13" ht="12.75" thickBot="1" x14ac:dyDescent="0.25">
      <c r="A1437" s="693">
        <v>1433</v>
      </c>
      <c r="B1437" s="749" t="str">
        <f t="shared" si="23"/>
        <v>Articles of aluminium, uncast, n.e.s.</v>
      </c>
      <c r="C1437" s="749" t="s">
        <v>3048</v>
      </c>
      <c r="D1437" s="1045"/>
      <c r="E1437" s="1045"/>
      <c r="F1437" s="1045"/>
      <c r="G1437" s="1045"/>
      <c r="H1437" s="1045"/>
      <c r="I1437" s="1045"/>
      <c r="J1437" s="1045"/>
      <c r="K1437" s="1045"/>
      <c r="L1437" s="1045"/>
      <c r="M1437" s="1045"/>
    </row>
    <row r="1438" spans="1:13" ht="12.75" x14ac:dyDescent="0.2">
      <c r="A1438" s="693">
        <v>1434</v>
      </c>
      <c r="B1438" s="754" t="str">
        <f t="shared" si="23"/>
        <v>Code Lists</v>
      </c>
      <c r="C1438" s="694" t="s">
        <v>3676</v>
      </c>
      <c r="D1438" s="1046"/>
      <c r="E1438" s="1046"/>
      <c r="F1438" s="1046"/>
      <c r="G1438" s="1046"/>
      <c r="H1438" s="1046"/>
      <c r="I1438" s="1046"/>
      <c r="J1438" s="1046"/>
      <c r="K1438" s="1046"/>
      <c r="L1438" s="1046"/>
      <c r="M1438" s="1046"/>
    </row>
    <row r="1439" spans="1:13" ht="18" x14ac:dyDescent="0.2">
      <c r="A1439" s="693">
        <v>1435</v>
      </c>
      <c r="B1439" s="316" t="str">
        <f t="shared" si="23"/>
        <v>Sheet "Code Lists"</v>
      </c>
      <c r="C1439" s="694" t="s">
        <v>3677</v>
      </c>
      <c r="D1439" s="1046"/>
      <c r="E1439" s="1046"/>
      <c r="F1439" s="1046"/>
      <c r="G1439" s="1046"/>
      <c r="H1439" s="1046"/>
      <c r="I1439" s="1046"/>
      <c r="J1439" s="1046"/>
      <c r="K1439" s="1046"/>
      <c r="L1439" s="1046"/>
      <c r="M1439" s="1046"/>
    </row>
    <row r="1440" spans="1:13" ht="15.75" x14ac:dyDescent="0.2">
      <c r="A1440" s="693">
        <v>1436</v>
      </c>
      <c r="B1440" s="315" t="str">
        <f t="shared" si="23"/>
        <v>Countries &amp; Currencies</v>
      </c>
      <c r="C1440" s="694" t="s">
        <v>3678</v>
      </c>
      <c r="D1440" s="1046"/>
      <c r="E1440" s="1046"/>
      <c r="F1440" s="1046"/>
      <c r="G1440" s="1046"/>
      <c r="H1440" s="1046"/>
      <c r="I1440" s="1046"/>
      <c r="J1440" s="1046"/>
      <c r="K1440" s="1046"/>
      <c r="L1440" s="1046"/>
      <c r="M1440" s="1046"/>
    </row>
    <row r="1441" spans="1:13" ht="12.75" x14ac:dyDescent="0.2">
      <c r="A1441" s="693">
        <v>1437</v>
      </c>
      <c r="B1441" s="730" t="str">
        <f t="shared" si="23"/>
        <v>Code</v>
      </c>
      <c r="C1441" s="694" t="s">
        <v>3679</v>
      </c>
      <c r="D1441" s="1046"/>
      <c r="E1441" s="1046"/>
      <c r="F1441" s="1046"/>
      <c r="G1441" s="1046"/>
      <c r="H1441" s="1046"/>
      <c r="I1441" s="1046"/>
      <c r="J1441" s="1046"/>
      <c r="K1441" s="1046"/>
      <c r="L1441" s="1046"/>
      <c r="M1441" s="1046"/>
    </row>
    <row r="1442" spans="1:13" ht="12.75" x14ac:dyDescent="0.2">
      <c r="A1442" s="693">
        <v>1438</v>
      </c>
      <c r="B1442" s="730" t="str">
        <f t="shared" si="23"/>
        <v>Country Name</v>
      </c>
      <c r="C1442" s="694" t="s">
        <v>3680</v>
      </c>
      <c r="D1442" s="1046"/>
      <c r="E1442" s="1046"/>
      <c r="F1442" s="1046"/>
      <c r="G1442" s="1046"/>
      <c r="H1442" s="1046"/>
      <c r="I1442" s="1046"/>
      <c r="J1442" s="1046"/>
      <c r="K1442" s="1046"/>
      <c r="L1442" s="1046"/>
      <c r="M1442" s="1046"/>
    </row>
    <row r="1443" spans="1:13" ht="12.75" x14ac:dyDescent="0.2">
      <c r="A1443" s="693">
        <v>1439</v>
      </c>
      <c r="B1443" s="730" t="str">
        <f t="shared" si="23"/>
        <v>Currency Name</v>
      </c>
      <c r="C1443" s="694" t="s">
        <v>3681</v>
      </c>
      <c r="D1443" s="1046"/>
      <c r="E1443" s="1046"/>
      <c r="F1443" s="1046"/>
      <c r="G1443" s="1046"/>
      <c r="H1443" s="1046"/>
      <c r="I1443" s="1046"/>
      <c r="J1443" s="1046"/>
      <c r="K1443" s="1046"/>
      <c r="L1443" s="1046"/>
      <c r="M1443" s="1046"/>
    </row>
    <row r="1444" spans="1:13" ht="12.75" x14ac:dyDescent="0.2">
      <c r="A1444" s="693">
        <v>1440</v>
      </c>
      <c r="B1444" s="681" t="str">
        <f t="shared" si="23"/>
        <v>Andorra</v>
      </c>
      <c r="C1444" s="694" t="s">
        <v>3682</v>
      </c>
      <c r="D1444" s="1046"/>
      <c r="E1444" s="1046"/>
      <c r="F1444" s="1046"/>
      <c r="G1444" s="1046"/>
      <c r="H1444" s="1046"/>
      <c r="I1444" s="1046"/>
      <c r="J1444" s="1046"/>
      <c r="K1444" s="1046"/>
      <c r="L1444" s="1046"/>
      <c r="M1444" s="1046"/>
    </row>
    <row r="1445" spans="1:13" ht="12.75" x14ac:dyDescent="0.2">
      <c r="A1445" s="693">
        <v>1441</v>
      </c>
      <c r="B1445" s="681" t="str">
        <f t="shared" si="23"/>
        <v>UAE Dirham</v>
      </c>
      <c r="C1445" s="694" t="s">
        <v>3683</v>
      </c>
      <c r="D1445" s="1046"/>
      <c r="E1445" s="1046"/>
      <c r="F1445" s="1046"/>
      <c r="G1445" s="1046"/>
      <c r="H1445" s="1046"/>
      <c r="I1445" s="1046"/>
      <c r="J1445" s="1046"/>
      <c r="K1445" s="1046"/>
      <c r="L1445" s="1046"/>
      <c r="M1445" s="1046"/>
    </row>
    <row r="1446" spans="1:13" ht="12.75" x14ac:dyDescent="0.2">
      <c r="A1446" s="693">
        <v>1442</v>
      </c>
      <c r="B1446" s="745" t="str">
        <f t="shared" si="23"/>
        <v>United Arab Emirates</v>
      </c>
      <c r="C1446" s="694" t="s">
        <v>3684</v>
      </c>
      <c r="D1446" s="1046"/>
      <c r="E1446" s="1046"/>
      <c r="F1446" s="1046"/>
      <c r="G1446" s="1046"/>
      <c r="H1446" s="1046"/>
      <c r="I1446" s="1046"/>
      <c r="J1446" s="1046"/>
      <c r="K1446" s="1046"/>
      <c r="L1446" s="1046"/>
      <c r="M1446" s="1046"/>
    </row>
    <row r="1447" spans="1:13" ht="12.75" x14ac:dyDescent="0.2">
      <c r="A1447" s="693">
        <v>1443</v>
      </c>
      <c r="B1447" s="745" t="str">
        <f t="shared" si="23"/>
        <v>Afghani</v>
      </c>
      <c r="C1447" s="694" t="s">
        <v>3685</v>
      </c>
      <c r="D1447" s="1046"/>
      <c r="E1447" s="1046"/>
      <c r="F1447" s="1046"/>
      <c r="G1447" s="1046"/>
      <c r="H1447" s="1046"/>
      <c r="I1447" s="1046"/>
      <c r="J1447" s="1046"/>
      <c r="K1447" s="1046"/>
      <c r="L1447" s="1046"/>
      <c r="M1447" s="1046"/>
    </row>
    <row r="1448" spans="1:13" ht="12.75" x14ac:dyDescent="0.2">
      <c r="A1448" s="693">
        <v>1444</v>
      </c>
      <c r="B1448" s="745" t="str">
        <f t="shared" si="23"/>
        <v>Afghanistan</v>
      </c>
      <c r="C1448" s="694" t="s">
        <v>3686</v>
      </c>
      <c r="D1448" s="1046"/>
      <c r="E1448" s="1046"/>
      <c r="F1448" s="1046"/>
      <c r="G1448" s="1046"/>
      <c r="H1448" s="1046"/>
      <c r="I1448" s="1046"/>
      <c r="J1448" s="1046"/>
      <c r="K1448" s="1046"/>
      <c r="L1448" s="1046"/>
      <c r="M1448" s="1046"/>
    </row>
    <row r="1449" spans="1:13" ht="12.75" x14ac:dyDescent="0.2">
      <c r="A1449" s="693">
        <v>1445</v>
      </c>
      <c r="B1449" s="745" t="str">
        <f t="shared" si="23"/>
        <v>Lek</v>
      </c>
      <c r="C1449" s="694" t="s">
        <v>3687</v>
      </c>
      <c r="D1449" s="1046"/>
      <c r="E1449" s="1046"/>
      <c r="F1449" s="1046"/>
      <c r="G1449" s="1046"/>
      <c r="H1449" s="1046"/>
      <c r="I1449" s="1046"/>
      <c r="J1449" s="1046"/>
      <c r="K1449" s="1046"/>
      <c r="L1449" s="1046"/>
      <c r="M1449" s="1046"/>
    </row>
    <row r="1450" spans="1:13" ht="12.75" x14ac:dyDescent="0.2">
      <c r="A1450" s="693">
        <v>1446</v>
      </c>
      <c r="B1450" s="745" t="str">
        <f t="shared" si="23"/>
        <v>Antigua and Barbuda</v>
      </c>
      <c r="C1450" s="694" t="s">
        <v>3688</v>
      </c>
      <c r="D1450" s="1046"/>
      <c r="E1450" s="1046"/>
      <c r="F1450" s="1046"/>
      <c r="G1450" s="1046"/>
      <c r="H1450" s="1046"/>
      <c r="I1450" s="1046"/>
      <c r="J1450" s="1046"/>
      <c r="K1450" s="1046"/>
      <c r="L1450" s="1046"/>
      <c r="M1450" s="1046"/>
    </row>
    <row r="1451" spans="1:13" ht="12.75" x14ac:dyDescent="0.2">
      <c r="A1451" s="693">
        <v>1447</v>
      </c>
      <c r="B1451" s="745" t="str">
        <f t="shared" si="23"/>
        <v>Armenian Dram</v>
      </c>
      <c r="C1451" s="694" t="s">
        <v>3689</v>
      </c>
      <c r="D1451" s="1046"/>
      <c r="E1451" s="1046"/>
      <c r="F1451" s="1046"/>
      <c r="G1451" s="1046"/>
      <c r="H1451" s="1046"/>
      <c r="I1451" s="1046"/>
      <c r="J1451" s="1046"/>
      <c r="K1451" s="1046"/>
      <c r="L1451" s="1046"/>
      <c r="M1451" s="1046"/>
    </row>
    <row r="1452" spans="1:13" ht="12.75" x14ac:dyDescent="0.2">
      <c r="A1452" s="693">
        <v>1448</v>
      </c>
      <c r="B1452" s="745" t="str">
        <f t="shared" si="23"/>
        <v>Anguilla</v>
      </c>
      <c r="C1452" s="694" t="s">
        <v>3690</v>
      </c>
      <c r="D1452" s="1046"/>
      <c r="E1452" s="1046"/>
      <c r="F1452" s="1046"/>
      <c r="G1452" s="1046"/>
      <c r="H1452" s="1046"/>
      <c r="I1452" s="1046"/>
      <c r="J1452" s="1046"/>
      <c r="K1452" s="1046"/>
      <c r="L1452" s="1046"/>
      <c r="M1452" s="1046"/>
    </row>
    <row r="1453" spans="1:13" ht="12.75" x14ac:dyDescent="0.2">
      <c r="A1453" s="693">
        <v>1449</v>
      </c>
      <c r="B1453" s="745" t="str">
        <f t="shared" si="23"/>
        <v>Netherlands Antillean Guilder</v>
      </c>
      <c r="C1453" s="694" t="s">
        <v>3691</v>
      </c>
      <c r="D1453" s="1046"/>
      <c r="E1453" s="1046"/>
      <c r="F1453" s="1046"/>
      <c r="G1453" s="1046"/>
      <c r="H1453" s="1046"/>
      <c r="I1453" s="1046"/>
      <c r="J1453" s="1046"/>
      <c r="K1453" s="1046"/>
      <c r="L1453" s="1046"/>
      <c r="M1453" s="1046"/>
    </row>
    <row r="1454" spans="1:13" ht="12.75" x14ac:dyDescent="0.2">
      <c r="A1454" s="693">
        <v>1450</v>
      </c>
      <c r="B1454" s="745" t="str">
        <f t="shared" si="23"/>
        <v>Albania</v>
      </c>
      <c r="C1454" s="694" t="s">
        <v>3692</v>
      </c>
      <c r="D1454" s="1046"/>
      <c r="E1454" s="1046"/>
      <c r="F1454" s="1046"/>
      <c r="G1454" s="1046"/>
      <c r="H1454" s="1046"/>
      <c r="I1454" s="1046"/>
      <c r="J1454" s="1046"/>
      <c r="K1454" s="1046"/>
      <c r="L1454" s="1046"/>
      <c r="M1454" s="1046"/>
    </row>
    <row r="1455" spans="1:13" ht="12.75" x14ac:dyDescent="0.2">
      <c r="A1455" s="693">
        <v>1451</v>
      </c>
      <c r="B1455" s="745" t="str">
        <f t="shared" si="23"/>
        <v>Kwanza</v>
      </c>
      <c r="C1455" s="694" t="s">
        <v>3693</v>
      </c>
      <c r="D1455" s="1046"/>
      <c r="E1455" s="1046"/>
      <c r="F1455" s="1046"/>
      <c r="G1455" s="1046"/>
      <c r="H1455" s="1046"/>
      <c r="I1455" s="1046"/>
      <c r="J1455" s="1046"/>
      <c r="K1455" s="1046"/>
      <c r="L1455" s="1046"/>
      <c r="M1455" s="1046"/>
    </row>
    <row r="1456" spans="1:13" ht="12.75" x14ac:dyDescent="0.2">
      <c r="A1456" s="693">
        <v>1452</v>
      </c>
      <c r="B1456" s="745" t="str">
        <f t="shared" si="23"/>
        <v>Armenia</v>
      </c>
      <c r="C1456" s="694" t="s">
        <v>3694</v>
      </c>
      <c r="D1456" s="1046"/>
      <c r="E1456" s="1046"/>
      <c r="F1456" s="1046"/>
      <c r="G1456" s="1046"/>
      <c r="H1456" s="1046"/>
      <c r="I1456" s="1046"/>
      <c r="J1456" s="1046"/>
      <c r="K1456" s="1046"/>
      <c r="L1456" s="1046"/>
      <c r="M1456" s="1046"/>
    </row>
    <row r="1457" spans="1:13" ht="12.75" x14ac:dyDescent="0.2">
      <c r="A1457" s="693">
        <v>1453</v>
      </c>
      <c r="B1457" s="745" t="str">
        <f t="shared" si="23"/>
        <v>Argentine Peso</v>
      </c>
      <c r="C1457" s="694" t="s">
        <v>3695</v>
      </c>
      <c r="D1457" s="1046"/>
      <c r="E1457" s="1046"/>
      <c r="F1457" s="1046"/>
      <c r="G1457" s="1046"/>
      <c r="H1457" s="1046"/>
      <c r="I1457" s="1046"/>
      <c r="J1457" s="1046"/>
      <c r="K1457" s="1046"/>
      <c r="L1457" s="1046"/>
      <c r="M1457" s="1046"/>
    </row>
    <row r="1458" spans="1:13" ht="12.75" x14ac:dyDescent="0.2">
      <c r="A1458" s="693">
        <v>1454</v>
      </c>
      <c r="B1458" s="745" t="str">
        <f t="shared" si="23"/>
        <v>Netherlands Antilles</v>
      </c>
      <c r="C1458" s="694" t="s">
        <v>3696</v>
      </c>
      <c r="D1458" s="1046"/>
      <c r="E1458" s="1046"/>
      <c r="F1458" s="1046"/>
      <c r="G1458" s="1046"/>
      <c r="H1458" s="1046"/>
      <c r="I1458" s="1046"/>
      <c r="J1458" s="1046"/>
      <c r="K1458" s="1046"/>
      <c r="L1458" s="1046"/>
      <c r="M1458" s="1046"/>
    </row>
    <row r="1459" spans="1:13" ht="12.75" x14ac:dyDescent="0.2">
      <c r="A1459" s="693">
        <v>1455</v>
      </c>
      <c r="B1459" s="745" t="str">
        <f t="shared" si="23"/>
        <v>Australian Dollar</v>
      </c>
      <c r="C1459" s="694" t="s">
        <v>3697</v>
      </c>
      <c r="D1459" s="1046"/>
      <c r="E1459" s="1046"/>
      <c r="F1459" s="1046"/>
      <c r="G1459" s="1046"/>
      <c r="H1459" s="1046"/>
      <c r="I1459" s="1046"/>
      <c r="J1459" s="1046"/>
      <c r="K1459" s="1046"/>
      <c r="L1459" s="1046"/>
      <c r="M1459" s="1046"/>
    </row>
    <row r="1460" spans="1:13" ht="12.75" x14ac:dyDescent="0.2">
      <c r="A1460" s="693">
        <v>1456</v>
      </c>
      <c r="B1460" s="745" t="str">
        <f t="shared" si="23"/>
        <v>Angola</v>
      </c>
      <c r="C1460" s="694" t="s">
        <v>3698</v>
      </c>
      <c r="D1460" s="1046"/>
      <c r="E1460" s="1046"/>
      <c r="F1460" s="1046"/>
      <c r="G1460" s="1046"/>
      <c r="H1460" s="1046"/>
      <c r="I1460" s="1046"/>
      <c r="J1460" s="1046"/>
      <c r="K1460" s="1046"/>
      <c r="L1460" s="1046"/>
      <c r="M1460" s="1046"/>
    </row>
    <row r="1461" spans="1:13" ht="12.75" x14ac:dyDescent="0.2">
      <c r="A1461" s="693">
        <v>1457</v>
      </c>
      <c r="B1461" s="745" t="str">
        <f t="shared" si="23"/>
        <v>Aruban Florin</v>
      </c>
      <c r="C1461" s="694" t="s">
        <v>3699</v>
      </c>
      <c r="D1461" s="1046"/>
      <c r="E1461" s="1046"/>
      <c r="F1461" s="1046"/>
      <c r="G1461" s="1046"/>
      <c r="H1461" s="1046"/>
      <c r="I1461" s="1046"/>
      <c r="J1461" s="1046"/>
      <c r="K1461" s="1046"/>
      <c r="L1461" s="1046"/>
      <c r="M1461" s="1046"/>
    </row>
    <row r="1462" spans="1:13" ht="12.75" x14ac:dyDescent="0.2">
      <c r="A1462" s="693">
        <v>1458</v>
      </c>
      <c r="B1462" s="745" t="str">
        <f t="shared" si="23"/>
        <v>Antarctica</v>
      </c>
      <c r="C1462" s="694" t="s">
        <v>3700</v>
      </c>
      <c r="D1462" s="1046"/>
      <c r="E1462" s="1046"/>
      <c r="F1462" s="1046"/>
      <c r="G1462" s="1046"/>
      <c r="H1462" s="1046"/>
      <c r="I1462" s="1046"/>
      <c r="J1462" s="1046"/>
      <c r="K1462" s="1046"/>
      <c r="L1462" s="1046"/>
      <c r="M1462" s="1046"/>
    </row>
    <row r="1463" spans="1:13" ht="12.75" x14ac:dyDescent="0.2">
      <c r="A1463" s="693">
        <v>1459</v>
      </c>
      <c r="B1463" s="745" t="str">
        <f t="shared" si="23"/>
        <v>Azerbaijan Manat</v>
      </c>
      <c r="C1463" s="694" t="s">
        <v>3701</v>
      </c>
      <c r="D1463" s="1046"/>
      <c r="E1463" s="1046"/>
      <c r="F1463" s="1046"/>
      <c r="G1463" s="1046"/>
      <c r="H1463" s="1046"/>
      <c r="I1463" s="1046"/>
      <c r="J1463" s="1046"/>
      <c r="K1463" s="1046"/>
      <c r="L1463" s="1046"/>
      <c r="M1463" s="1046"/>
    </row>
    <row r="1464" spans="1:13" ht="12.75" x14ac:dyDescent="0.2">
      <c r="A1464" s="693">
        <v>1460</v>
      </c>
      <c r="B1464" s="745" t="str">
        <f t="shared" si="23"/>
        <v>Argentina</v>
      </c>
      <c r="C1464" s="694" t="s">
        <v>3702</v>
      </c>
      <c r="D1464" s="1046"/>
      <c r="E1464" s="1046"/>
      <c r="F1464" s="1046"/>
      <c r="G1464" s="1046"/>
      <c r="H1464" s="1046"/>
      <c r="I1464" s="1046"/>
      <c r="J1464" s="1046"/>
      <c r="K1464" s="1046"/>
      <c r="L1464" s="1046"/>
      <c r="M1464" s="1046"/>
    </row>
    <row r="1465" spans="1:13" ht="12.75" x14ac:dyDescent="0.2">
      <c r="A1465" s="693">
        <v>1461</v>
      </c>
      <c r="B1465" s="745" t="str">
        <f t="shared" si="23"/>
        <v>Convertible Mark</v>
      </c>
      <c r="C1465" s="694" t="s">
        <v>3703</v>
      </c>
      <c r="D1465" s="1046"/>
      <c r="E1465" s="1046"/>
      <c r="F1465" s="1046"/>
      <c r="G1465" s="1046"/>
      <c r="H1465" s="1046"/>
      <c r="I1465" s="1046"/>
      <c r="J1465" s="1046"/>
      <c r="K1465" s="1046"/>
      <c r="L1465" s="1046"/>
      <c r="M1465" s="1046"/>
    </row>
    <row r="1466" spans="1:13" ht="12.75" x14ac:dyDescent="0.2">
      <c r="A1466" s="693">
        <v>1462</v>
      </c>
      <c r="B1466" s="745" t="str">
        <f t="shared" si="23"/>
        <v>American Samoa</v>
      </c>
      <c r="C1466" s="694" t="s">
        <v>3704</v>
      </c>
      <c r="D1466" s="1046"/>
      <c r="E1466" s="1046"/>
      <c r="F1466" s="1046"/>
      <c r="G1466" s="1046"/>
      <c r="H1466" s="1046"/>
      <c r="I1466" s="1046"/>
      <c r="J1466" s="1046"/>
      <c r="K1466" s="1046"/>
      <c r="L1466" s="1046"/>
      <c r="M1466" s="1046"/>
    </row>
    <row r="1467" spans="1:13" ht="12.75" x14ac:dyDescent="0.2">
      <c r="A1467" s="693">
        <v>1463</v>
      </c>
      <c r="B1467" s="745" t="str">
        <f t="shared" si="23"/>
        <v>Barbados Dollar</v>
      </c>
      <c r="C1467" s="694" t="s">
        <v>3705</v>
      </c>
      <c r="D1467" s="1046"/>
      <c r="E1467" s="1046"/>
      <c r="F1467" s="1046"/>
      <c r="G1467" s="1046"/>
      <c r="H1467" s="1046"/>
      <c r="I1467" s="1046"/>
      <c r="J1467" s="1046"/>
      <c r="K1467" s="1046"/>
      <c r="L1467" s="1046"/>
      <c r="M1467" s="1046"/>
    </row>
    <row r="1468" spans="1:13" ht="12.75" x14ac:dyDescent="0.2">
      <c r="A1468" s="693">
        <v>1464</v>
      </c>
      <c r="B1468" s="745" t="str">
        <f t="shared" si="23"/>
        <v>Taka</v>
      </c>
      <c r="C1468" s="694" t="s">
        <v>3706</v>
      </c>
      <c r="D1468" s="1046"/>
      <c r="E1468" s="1046"/>
      <c r="F1468" s="1046"/>
      <c r="G1468" s="1046"/>
      <c r="H1468" s="1046"/>
      <c r="I1468" s="1046"/>
      <c r="J1468" s="1046"/>
      <c r="K1468" s="1046"/>
      <c r="L1468" s="1046"/>
      <c r="M1468" s="1046"/>
    </row>
    <row r="1469" spans="1:13" ht="12.75" x14ac:dyDescent="0.2">
      <c r="A1469" s="693">
        <v>1465</v>
      </c>
      <c r="B1469" s="745" t="str">
        <f t="shared" si="23"/>
        <v>Australia</v>
      </c>
      <c r="C1469" s="694" t="s">
        <v>3707</v>
      </c>
      <c r="D1469" s="1046"/>
      <c r="E1469" s="1046"/>
      <c r="F1469" s="1046"/>
      <c r="G1469" s="1046"/>
      <c r="H1469" s="1046"/>
      <c r="I1469" s="1046"/>
      <c r="J1469" s="1046"/>
      <c r="K1469" s="1046"/>
      <c r="L1469" s="1046"/>
      <c r="M1469" s="1046"/>
    </row>
    <row r="1470" spans="1:13" ht="12.75" x14ac:dyDescent="0.2">
      <c r="A1470" s="693">
        <v>1466</v>
      </c>
      <c r="B1470" s="745" t="str">
        <f t="shared" si="23"/>
        <v>Bulgarian Lev</v>
      </c>
      <c r="C1470" s="694" t="s">
        <v>3708</v>
      </c>
      <c r="D1470" s="1046"/>
      <c r="E1470" s="1046"/>
      <c r="F1470" s="1046"/>
      <c r="G1470" s="1046"/>
      <c r="H1470" s="1046"/>
      <c r="I1470" s="1046"/>
      <c r="J1470" s="1046"/>
      <c r="K1470" s="1046"/>
      <c r="L1470" s="1046"/>
      <c r="M1470" s="1046"/>
    </row>
    <row r="1471" spans="1:13" ht="12.75" x14ac:dyDescent="0.2">
      <c r="A1471" s="693">
        <v>1467</v>
      </c>
      <c r="B1471" s="745" t="str">
        <f t="shared" si="23"/>
        <v>Aruba</v>
      </c>
      <c r="C1471" s="694" t="s">
        <v>3709</v>
      </c>
      <c r="D1471" s="1046"/>
      <c r="E1471" s="1046"/>
      <c r="F1471" s="1046"/>
      <c r="G1471" s="1046"/>
      <c r="H1471" s="1046"/>
      <c r="I1471" s="1046"/>
      <c r="J1471" s="1046"/>
      <c r="K1471" s="1046"/>
      <c r="L1471" s="1046"/>
      <c r="M1471" s="1046"/>
    </row>
    <row r="1472" spans="1:13" ht="12.75" x14ac:dyDescent="0.2">
      <c r="A1472" s="693">
        <v>1468</v>
      </c>
      <c r="B1472" s="745" t="str">
        <f t="shared" si="23"/>
        <v>Bahraini Dinar</v>
      </c>
      <c r="C1472" s="694" t="s">
        <v>3710</v>
      </c>
      <c r="D1472" s="1046"/>
      <c r="E1472" s="1046"/>
      <c r="F1472" s="1046"/>
      <c r="G1472" s="1046"/>
      <c r="H1472" s="1046"/>
      <c r="I1472" s="1046"/>
      <c r="J1472" s="1046"/>
      <c r="K1472" s="1046"/>
      <c r="L1472" s="1046"/>
      <c r="M1472" s="1046"/>
    </row>
    <row r="1473" spans="1:13" ht="12.75" x14ac:dyDescent="0.2">
      <c r="A1473" s="693">
        <v>1469</v>
      </c>
      <c r="B1473" s="745" t="str">
        <f t="shared" si="23"/>
        <v>ÅLAND ISLANDS</v>
      </c>
      <c r="C1473" s="694" t="s">
        <v>3711</v>
      </c>
      <c r="D1473" s="1046"/>
      <c r="E1473" s="1046"/>
      <c r="F1473" s="1046"/>
      <c r="G1473" s="1046"/>
      <c r="H1473" s="1046"/>
      <c r="I1473" s="1046"/>
      <c r="J1473" s="1046"/>
      <c r="K1473" s="1046"/>
      <c r="L1473" s="1046"/>
      <c r="M1473" s="1046"/>
    </row>
    <row r="1474" spans="1:13" ht="12.75" x14ac:dyDescent="0.2">
      <c r="A1474" s="693">
        <v>1470</v>
      </c>
      <c r="B1474" s="745" t="str">
        <f t="shared" si="23"/>
        <v>Burundi Franc</v>
      </c>
      <c r="C1474" s="694" t="s">
        <v>3712</v>
      </c>
      <c r="D1474" s="1046"/>
      <c r="E1474" s="1046"/>
      <c r="F1474" s="1046"/>
      <c r="G1474" s="1046"/>
      <c r="H1474" s="1046"/>
      <c r="I1474" s="1046"/>
      <c r="J1474" s="1046"/>
      <c r="K1474" s="1046"/>
      <c r="L1474" s="1046"/>
      <c r="M1474" s="1046"/>
    </row>
    <row r="1475" spans="1:13" ht="12.75" x14ac:dyDescent="0.2">
      <c r="A1475" s="693">
        <v>1471</v>
      </c>
      <c r="B1475" s="745" t="str">
        <f t="shared" si="23"/>
        <v>Azerbaijan</v>
      </c>
      <c r="C1475" s="694" t="s">
        <v>3713</v>
      </c>
      <c r="D1475" s="1046"/>
      <c r="E1475" s="1046"/>
      <c r="F1475" s="1046"/>
      <c r="G1475" s="1046"/>
      <c r="H1475" s="1046"/>
      <c r="I1475" s="1046"/>
      <c r="J1475" s="1046"/>
      <c r="K1475" s="1046"/>
      <c r="L1475" s="1046"/>
      <c r="M1475" s="1046"/>
    </row>
    <row r="1476" spans="1:13" ht="12.75" x14ac:dyDescent="0.2">
      <c r="A1476" s="693">
        <v>1472</v>
      </c>
      <c r="B1476" s="745" t="str">
        <f t="shared" si="23"/>
        <v>Bermudian Dollar</v>
      </c>
      <c r="C1476" s="694" t="s">
        <v>3714</v>
      </c>
      <c r="D1476" s="1046"/>
      <c r="E1476" s="1046"/>
      <c r="F1476" s="1046"/>
      <c r="G1476" s="1046"/>
      <c r="H1476" s="1046"/>
      <c r="I1476" s="1046"/>
      <c r="J1476" s="1046"/>
      <c r="K1476" s="1046"/>
      <c r="L1476" s="1046"/>
      <c r="M1476" s="1046"/>
    </row>
    <row r="1477" spans="1:13" ht="12.75" x14ac:dyDescent="0.2">
      <c r="A1477" s="693">
        <v>1473</v>
      </c>
      <c r="B1477" s="745" t="str">
        <f t="shared" si="23"/>
        <v>Bosnia and Herzegovina</v>
      </c>
      <c r="C1477" s="694" t="s">
        <v>3715</v>
      </c>
      <c r="D1477" s="1046"/>
      <c r="E1477" s="1046"/>
      <c r="F1477" s="1046"/>
      <c r="G1477" s="1046"/>
      <c r="H1477" s="1046"/>
      <c r="I1477" s="1046"/>
      <c r="J1477" s="1046"/>
      <c r="K1477" s="1046"/>
      <c r="L1477" s="1046"/>
      <c r="M1477" s="1046"/>
    </row>
    <row r="1478" spans="1:13" ht="12.75" x14ac:dyDescent="0.2">
      <c r="A1478" s="693">
        <v>1474</v>
      </c>
      <c r="B1478" s="745" t="str">
        <f t="shared" si="23"/>
        <v>Brunei Dollar</v>
      </c>
      <c r="C1478" s="694" t="s">
        <v>3716</v>
      </c>
      <c r="D1478" s="1046"/>
      <c r="E1478" s="1046"/>
      <c r="F1478" s="1046"/>
      <c r="G1478" s="1046"/>
      <c r="H1478" s="1046"/>
      <c r="I1478" s="1046"/>
      <c r="J1478" s="1046"/>
      <c r="K1478" s="1046"/>
      <c r="L1478" s="1046"/>
      <c r="M1478" s="1046"/>
    </row>
    <row r="1479" spans="1:13" ht="12.75" x14ac:dyDescent="0.2">
      <c r="A1479" s="693">
        <v>1475</v>
      </c>
      <c r="B1479" s="745" t="str">
        <f t="shared" si="23"/>
        <v>Barbados</v>
      </c>
      <c r="C1479" s="694" t="s">
        <v>3717</v>
      </c>
      <c r="D1479" s="1046"/>
      <c r="E1479" s="1046"/>
      <c r="F1479" s="1046"/>
      <c r="G1479" s="1046"/>
      <c r="H1479" s="1046"/>
      <c r="I1479" s="1046"/>
      <c r="J1479" s="1046"/>
      <c r="K1479" s="1046"/>
      <c r="L1479" s="1046"/>
      <c r="M1479" s="1046"/>
    </row>
    <row r="1480" spans="1:13" ht="12.75" x14ac:dyDescent="0.2">
      <c r="A1480" s="693">
        <v>1476</v>
      </c>
      <c r="B1480" s="745" t="str">
        <f t="shared" si="23"/>
        <v>Boliviano</v>
      </c>
      <c r="C1480" s="694" t="s">
        <v>3718</v>
      </c>
      <c r="D1480" s="1046"/>
      <c r="E1480" s="1046"/>
      <c r="F1480" s="1046"/>
      <c r="G1480" s="1046"/>
      <c r="H1480" s="1046"/>
      <c r="I1480" s="1046"/>
      <c r="J1480" s="1046"/>
      <c r="K1480" s="1046"/>
      <c r="L1480" s="1046"/>
      <c r="M1480" s="1046"/>
    </row>
    <row r="1481" spans="1:13" ht="12.75" x14ac:dyDescent="0.2">
      <c r="A1481" s="693">
        <v>1477</v>
      </c>
      <c r="B1481" s="745" t="str">
        <f t="shared" si="23"/>
        <v>Bangladesh</v>
      </c>
      <c r="C1481" s="694" t="s">
        <v>3719</v>
      </c>
      <c r="D1481" s="1046"/>
      <c r="E1481" s="1046"/>
      <c r="F1481" s="1046"/>
      <c r="G1481" s="1046"/>
      <c r="H1481" s="1046"/>
      <c r="I1481" s="1046"/>
      <c r="J1481" s="1046"/>
      <c r="K1481" s="1046"/>
      <c r="L1481" s="1046"/>
      <c r="M1481" s="1046"/>
    </row>
    <row r="1482" spans="1:13" ht="12.75" x14ac:dyDescent="0.2">
      <c r="A1482" s="693">
        <v>1478</v>
      </c>
      <c r="B1482" s="745" t="str">
        <f t="shared" si="23"/>
        <v>Mvdol</v>
      </c>
      <c r="C1482" s="694" t="s">
        <v>3720</v>
      </c>
      <c r="D1482" s="1046"/>
      <c r="E1482" s="1046"/>
      <c r="F1482" s="1046"/>
      <c r="G1482" s="1046"/>
      <c r="H1482" s="1046"/>
      <c r="I1482" s="1046"/>
      <c r="J1482" s="1046"/>
      <c r="K1482" s="1046"/>
      <c r="L1482" s="1046"/>
      <c r="M1482" s="1046"/>
    </row>
    <row r="1483" spans="1:13" ht="12.75" x14ac:dyDescent="0.2">
      <c r="A1483" s="693">
        <v>1479</v>
      </c>
      <c r="B1483" s="745" t="str">
        <f t="shared" ref="B1483:B1546" si="24">IFERROR(INDEX(C1483:M1483,$A$4-2),$C1483)</f>
        <v>Brazilian Real</v>
      </c>
      <c r="C1483" s="694" t="s">
        <v>3721</v>
      </c>
      <c r="D1483" s="1046"/>
      <c r="E1483" s="1046"/>
      <c r="F1483" s="1046"/>
      <c r="G1483" s="1046"/>
      <c r="H1483" s="1046"/>
      <c r="I1483" s="1046"/>
      <c r="J1483" s="1046"/>
      <c r="K1483" s="1046"/>
      <c r="L1483" s="1046"/>
      <c r="M1483" s="1046"/>
    </row>
    <row r="1484" spans="1:13" ht="12.75" x14ac:dyDescent="0.2">
      <c r="A1484" s="693">
        <v>1480</v>
      </c>
      <c r="B1484" s="745" t="str">
        <f t="shared" si="24"/>
        <v>Burkina Faso</v>
      </c>
      <c r="C1484" s="694" t="s">
        <v>3722</v>
      </c>
      <c r="D1484" s="1046"/>
      <c r="E1484" s="1046"/>
      <c r="F1484" s="1046"/>
      <c r="G1484" s="1046"/>
      <c r="H1484" s="1046"/>
      <c r="I1484" s="1046"/>
      <c r="J1484" s="1046"/>
      <c r="K1484" s="1046"/>
      <c r="L1484" s="1046"/>
      <c r="M1484" s="1046"/>
    </row>
    <row r="1485" spans="1:13" ht="12.75" x14ac:dyDescent="0.2">
      <c r="A1485" s="693">
        <v>1481</v>
      </c>
      <c r="B1485" s="745" t="str">
        <f t="shared" si="24"/>
        <v>Bahamian Dollar</v>
      </c>
      <c r="C1485" s="694" t="s">
        <v>3723</v>
      </c>
      <c r="D1485" s="1046"/>
      <c r="E1485" s="1046"/>
      <c r="F1485" s="1046"/>
      <c r="G1485" s="1046"/>
      <c r="H1485" s="1046"/>
      <c r="I1485" s="1046"/>
      <c r="J1485" s="1046"/>
      <c r="K1485" s="1046"/>
      <c r="L1485" s="1046"/>
      <c r="M1485" s="1046"/>
    </row>
    <row r="1486" spans="1:13" ht="12.75" x14ac:dyDescent="0.2">
      <c r="A1486" s="693">
        <v>1482</v>
      </c>
      <c r="B1486" s="745" t="str">
        <f t="shared" si="24"/>
        <v>Ngultrum</v>
      </c>
      <c r="C1486" s="694" t="s">
        <v>3724</v>
      </c>
      <c r="D1486" s="1046"/>
      <c r="E1486" s="1046"/>
      <c r="F1486" s="1046"/>
      <c r="G1486" s="1046"/>
      <c r="H1486" s="1046"/>
      <c r="I1486" s="1046"/>
      <c r="J1486" s="1046"/>
      <c r="K1486" s="1046"/>
      <c r="L1486" s="1046"/>
      <c r="M1486" s="1046"/>
    </row>
    <row r="1487" spans="1:13" ht="12.75" x14ac:dyDescent="0.2">
      <c r="A1487" s="693">
        <v>1483</v>
      </c>
      <c r="B1487" s="745" t="str">
        <f t="shared" si="24"/>
        <v>Bahrain</v>
      </c>
      <c r="C1487" s="694" t="s">
        <v>3725</v>
      </c>
      <c r="D1487" s="1046"/>
      <c r="E1487" s="1046"/>
      <c r="F1487" s="1046"/>
      <c r="G1487" s="1046"/>
      <c r="H1487" s="1046"/>
      <c r="I1487" s="1046"/>
      <c r="J1487" s="1046"/>
      <c r="K1487" s="1046"/>
      <c r="L1487" s="1046"/>
      <c r="M1487" s="1046"/>
    </row>
    <row r="1488" spans="1:13" ht="12.75" x14ac:dyDescent="0.2">
      <c r="A1488" s="693">
        <v>1484</v>
      </c>
      <c r="B1488" s="745" t="str">
        <f t="shared" si="24"/>
        <v>Pula</v>
      </c>
      <c r="C1488" s="694" t="s">
        <v>3726</v>
      </c>
      <c r="D1488" s="1046"/>
      <c r="E1488" s="1046"/>
      <c r="F1488" s="1046"/>
      <c r="G1488" s="1046"/>
      <c r="H1488" s="1046"/>
      <c r="I1488" s="1046"/>
      <c r="J1488" s="1046"/>
      <c r="K1488" s="1046"/>
      <c r="L1488" s="1046"/>
      <c r="M1488" s="1046"/>
    </row>
    <row r="1489" spans="1:13" ht="12.75" x14ac:dyDescent="0.2">
      <c r="A1489" s="693">
        <v>1485</v>
      </c>
      <c r="B1489" s="745" t="str">
        <f t="shared" si="24"/>
        <v>Burundi</v>
      </c>
      <c r="C1489" s="694" t="s">
        <v>3727</v>
      </c>
      <c r="D1489" s="1046"/>
      <c r="E1489" s="1046"/>
      <c r="F1489" s="1046"/>
      <c r="G1489" s="1046"/>
      <c r="H1489" s="1046"/>
      <c r="I1489" s="1046"/>
      <c r="J1489" s="1046"/>
      <c r="K1489" s="1046"/>
      <c r="L1489" s="1046"/>
      <c r="M1489" s="1046"/>
    </row>
    <row r="1490" spans="1:13" ht="12.75" x14ac:dyDescent="0.2">
      <c r="A1490" s="693">
        <v>1486</v>
      </c>
      <c r="B1490" s="745" t="str">
        <f t="shared" si="24"/>
        <v>Belarusian Ruble</v>
      </c>
      <c r="C1490" s="694" t="s">
        <v>3728</v>
      </c>
      <c r="D1490" s="1046"/>
      <c r="E1490" s="1046"/>
      <c r="F1490" s="1046"/>
      <c r="G1490" s="1046"/>
      <c r="H1490" s="1046"/>
      <c r="I1490" s="1046"/>
      <c r="J1490" s="1046"/>
      <c r="K1490" s="1046"/>
      <c r="L1490" s="1046"/>
      <c r="M1490" s="1046"/>
    </row>
    <row r="1491" spans="1:13" ht="12.75" x14ac:dyDescent="0.2">
      <c r="A1491" s="693">
        <v>1487</v>
      </c>
      <c r="B1491" s="745" t="str">
        <f t="shared" si="24"/>
        <v>Benin</v>
      </c>
      <c r="C1491" s="694" t="s">
        <v>3729</v>
      </c>
      <c r="D1491" s="1046"/>
      <c r="E1491" s="1046"/>
      <c r="F1491" s="1046"/>
      <c r="G1491" s="1046"/>
      <c r="H1491" s="1046"/>
      <c r="I1491" s="1046"/>
      <c r="J1491" s="1046"/>
      <c r="K1491" s="1046"/>
      <c r="L1491" s="1046"/>
      <c r="M1491" s="1046"/>
    </row>
    <row r="1492" spans="1:13" ht="12.75" x14ac:dyDescent="0.2">
      <c r="A1492" s="693">
        <v>1488</v>
      </c>
      <c r="B1492" s="745" t="str">
        <f t="shared" si="24"/>
        <v>Belize Dollar</v>
      </c>
      <c r="C1492" s="694" t="s">
        <v>3730</v>
      </c>
      <c r="D1492" s="1046"/>
      <c r="E1492" s="1046"/>
      <c r="F1492" s="1046"/>
      <c r="G1492" s="1046"/>
      <c r="H1492" s="1046"/>
      <c r="I1492" s="1046"/>
      <c r="J1492" s="1046"/>
      <c r="K1492" s="1046"/>
      <c r="L1492" s="1046"/>
      <c r="M1492" s="1046"/>
    </row>
    <row r="1493" spans="1:13" ht="12.75" x14ac:dyDescent="0.2">
      <c r="A1493" s="693">
        <v>1489</v>
      </c>
      <c r="B1493" s="745" t="str">
        <f t="shared" si="24"/>
        <v>Saint Barthélemy</v>
      </c>
      <c r="C1493" s="694" t="s">
        <v>3731</v>
      </c>
      <c r="D1493" s="1046"/>
      <c r="E1493" s="1046"/>
      <c r="F1493" s="1046"/>
      <c r="G1493" s="1046"/>
      <c r="H1493" s="1046"/>
      <c r="I1493" s="1046"/>
      <c r="J1493" s="1046"/>
      <c r="K1493" s="1046"/>
      <c r="L1493" s="1046"/>
      <c r="M1493" s="1046"/>
    </row>
    <row r="1494" spans="1:13" ht="12.75" x14ac:dyDescent="0.2">
      <c r="A1494" s="693">
        <v>1490</v>
      </c>
      <c r="B1494" s="745" t="str">
        <f t="shared" si="24"/>
        <v>Canadian Dollar</v>
      </c>
      <c r="C1494" s="694" t="s">
        <v>3732</v>
      </c>
      <c r="D1494" s="1046"/>
      <c r="E1494" s="1046"/>
      <c r="F1494" s="1046"/>
      <c r="G1494" s="1046"/>
      <c r="H1494" s="1046"/>
      <c r="I1494" s="1046"/>
      <c r="J1494" s="1046"/>
      <c r="K1494" s="1046"/>
      <c r="L1494" s="1046"/>
      <c r="M1494" s="1046"/>
    </row>
    <row r="1495" spans="1:13" ht="12.75" x14ac:dyDescent="0.2">
      <c r="A1495" s="693">
        <v>1491</v>
      </c>
      <c r="B1495" s="745" t="str">
        <f t="shared" si="24"/>
        <v>Bermuda</v>
      </c>
      <c r="C1495" s="694" t="s">
        <v>3733</v>
      </c>
      <c r="D1495" s="1046"/>
      <c r="E1495" s="1046"/>
      <c r="F1495" s="1046"/>
      <c r="G1495" s="1046"/>
      <c r="H1495" s="1046"/>
      <c r="I1495" s="1046"/>
      <c r="J1495" s="1046"/>
      <c r="K1495" s="1046"/>
      <c r="L1495" s="1046"/>
      <c r="M1495" s="1046"/>
    </row>
    <row r="1496" spans="1:13" ht="12.75" x14ac:dyDescent="0.2">
      <c r="A1496" s="693">
        <v>1492</v>
      </c>
      <c r="B1496" s="745" t="str">
        <f t="shared" si="24"/>
        <v>Congolese Franc</v>
      </c>
      <c r="C1496" s="694" t="s">
        <v>3734</v>
      </c>
      <c r="D1496" s="1046"/>
      <c r="E1496" s="1046"/>
      <c r="F1496" s="1046"/>
      <c r="G1496" s="1046"/>
      <c r="H1496" s="1046"/>
      <c r="I1496" s="1046"/>
      <c r="J1496" s="1046"/>
      <c r="K1496" s="1046"/>
      <c r="L1496" s="1046"/>
      <c r="M1496" s="1046"/>
    </row>
    <row r="1497" spans="1:13" ht="12.75" x14ac:dyDescent="0.2">
      <c r="A1497" s="693">
        <v>1493</v>
      </c>
      <c r="B1497" s="745" t="str">
        <f t="shared" si="24"/>
        <v>Brunei Darussalam</v>
      </c>
      <c r="C1497" s="694" t="s">
        <v>3735</v>
      </c>
      <c r="D1497" s="1046"/>
      <c r="E1497" s="1046"/>
      <c r="F1497" s="1046"/>
      <c r="G1497" s="1046"/>
      <c r="H1497" s="1046"/>
      <c r="I1497" s="1046"/>
      <c r="J1497" s="1046"/>
      <c r="K1497" s="1046"/>
      <c r="L1497" s="1046"/>
      <c r="M1497" s="1046"/>
    </row>
    <row r="1498" spans="1:13" ht="12.75" x14ac:dyDescent="0.2">
      <c r="A1498" s="693">
        <v>1494</v>
      </c>
      <c r="B1498" s="745" t="str">
        <f t="shared" si="24"/>
        <v>WIR Euro</v>
      </c>
      <c r="C1498" s="694" t="s">
        <v>3736</v>
      </c>
      <c r="D1498" s="1046"/>
      <c r="E1498" s="1046"/>
      <c r="F1498" s="1046"/>
      <c r="G1498" s="1046"/>
      <c r="H1498" s="1046"/>
      <c r="I1498" s="1046"/>
      <c r="J1498" s="1046"/>
      <c r="K1498" s="1046"/>
      <c r="L1498" s="1046"/>
      <c r="M1498" s="1046"/>
    </row>
    <row r="1499" spans="1:13" ht="12.75" x14ac:dyDescent="0.2">
      <c r="A1499" s="693">
        <v>1495</v>
      </c>
      <c r="B1499" s="745" t="str">
        <f t="shared" si="24"/>
        <v>Bolivia, Plurinational State of</v>
      </c>
      <c r="C1499" s="694" t="s">
        <v>3737</v>
      </c>
      <c r="D1499" s="1046"/>
      <c r="E1499" s="1046"/>
      <c r="F1499" s="1046"/>
      <c r="G1499" s="1046"/>
      <c r="H1499" s="1046"/>
      <c r="I1499" s="1046"/>
      <c r="J1499" s="1046"/>
      <c r="K1499" s="1046"/>
      <c r="L1499" s="1046"/>
      <c r="M1499" s="1046"/>
    </row>
    <row r="1500" spans="1:13" ht="12.75" x14ac:dyDescent="0.2">
      <c r="A1500" s="693">
        <v>1496</v>
      </c>
      <c r="B1500" s="745" t="str">
        <f t="shared" si="24"/>
        <v>Swiss Franc</v>
      </c>
      <c r="C1500" s="694" t="s">
        <v>3738</v>
      </c>
      <c r="D1500" s="1046"/>
      <c r="E1500" s="1046"/>
      <c r="F1500" s="1046"/>
      <c r="G1500" s="1046"/>
      <c r="H1500" s="1046"/>
      <c r="I1500" s="1046"/>
      <c r="J1500" s="1046"/>
      <c r="K1500" s="1046"/>
      <c r="L1500" s="1046"/>
      <c r="M1500" s="1046"/>
    </row>
    <row r="1501" spans="1:13" ht="12.75" x14ac:dyDescent="0.2">
      <c r="A1501" s="693">
        <v>1497</v>
      </c>
      <c r="B1501" s="745" t="str">
        <f t="shared" si="24"/>
        <v>Bonaire, Sint Eustatius and Saba</v>
      </c>
      <c r="C1501" s="694" t="s">
        <v>3739</v>
      </c>
      <c r="D1501" s="1046"/>
      <c r="E1501" s="1046"/>
      <c r="F1501" s="1046"/>
      <c r="G1501" s="1046"/>
      <c r="H1501" s="1046"/>
      <c r="I1501" s="1046"/>
      <c r="J1501" s="1046"/>
      <c r="K1501" s="1046"/>
      <c r="L1501" s="1046"/>
      <c r="M1501" s="1046"/>
    </row>
    <row r="1502" spans="1:13" ht="12.75" x14ac:dyDescent="0.2">
      <c r="A1502" s="693">
        <v>1498</v>
      </c>
      <c r="B1502" s="745" t="str">
        <f t="shared" si="24"/>
        <v>WIR Franc</v>
      </c>
      <c r="C1502" s="694" t="s">
        <v>3740</v>
      </c>
      <c r="D1502" s="1046"/>
      <c r="E1502" s="1046"/>
      <c r="F1502" s="1046"/>
      <c r="G1502" s="1046"/>
      <c r="H1502" s="1046"/>
      <c r="I1502" s="1046"/>
      <c r="J1502" s="1046"/>
      <c r="K1502" s="1046"/>
      <c r="L1502" s="1046"/>
      <c r="M1502" s="1046"/>
    </row>
    <row r="1503" spans="1:13" ht="12.75" x14ac:dyDescent="0.2">
      <c r="A1503" s="693">
        <v>1499</v>
      </c>
      <c r="B1503" s="745" t="str">
        <f t="shared" si="24"/>
        <v>Brazil</v>
      </c>
      <c r="C1503" s="694" t="s">
        <v>3741</v>
      </c>
      <c r="D1503" s="1046"/>
      <c r="E1503" s="1046"/>
      <c r="F1503" s="1046"/>
      <c r="G1503" s="1046"/>
      <c r="H1503" s="1046"/>
      <c r="I1503" s="1046"/>
      <c r="J1503" s="1046"/>
      <c r="K1503" s="1046"/>
      <c r="L1503" s="1046"/>
      <c r="M1503" s="1046"/>
    </row>
    <row r="1504" spans="1:13" ht="12.75" x14ac:dyDescent="0.2">
      <c r="A1504" s="693">
        <v>1500</v>
      </c>
      <c r="B1504" s="745" t="str">
        <f t="shared" si="24"/>
        <v>Unidad de Fomento</v>
      </c>
      <c r="C1504" s="694" t="s">
        <v>3742</v>
      </c>
      <c r="D1504" s="1046"/>
      <c r="E1504" s="1046"/>
      <c r="F1504" s="1046"/>
      <c r="G1504" s="1046"/>
      <c r="H1504" s="1046"/>
      <c r="I1504" s="1046"/>
      <c r="J1504" s="1046"/>
      <c r="K1504" s="1046"/>
      <c r="L1504" s="1046"/>
      <c r="M1504" s="1046"/>
    </row>
    <row r="1505" spans="1:13" ht="12.75" x14ac:dyDescent="0.2">
      <c r="A1505" s="693">
        <v>1501</v>
      </c>
      <c r="B1505" s="745" t="str">
        <f t="shared" si="24"/>
        <v>Bahamas</v>
      </c>
      <c r="C1505" s="694" t="s">
        <v>3743</v>
      </c>
      <c r="D1505" s="1046"/>
      <c r="E1505" s="1046"/>
      <c r="F1505" s="1046"/>
      <c r="G1505" s="1046"/>
      <c r="H1505" s="1046"/>
      <c r="I1505" s="1046"/>
      <c r="J1505" s="1046"/>
      <c r="K1505" s="1046"/>
      <c r="L1505" s="1046"/>
      <c r="M1505" s="1046"/>
    </row>
    <row r="1506" spans="1:13" ht="12.75" x14ac:dyDescent="0.2">
      <c r="A1506" s="693">
        <v>1502</v>
      </c>
      <c r="B1506" s="745" t="str">
        <f t="shared" si="24"/>
        <v>Chilean Peso</v>
      </c>
      <c r="C1506" s="694" t="s">
        <v>3744</v>
      </c>
      <c r="D1506" s="1046"/>
      <c r="E1506" s="1046"/>
      <c r="F1506" s="1046"/>
      <c r="G1506" s="1046"/>
      <c r="H1506" s="1046"/>
      <c r="I1506" s="1046"/>
      <c r="J1506" s="1046"/>
      <c r="K1506" s="1046"/>
      <c r="L1506" s="1046"/>
      <c r="M1506" s="1046"/>
    </row>
    <row r="1507" spans="1:13" ht="12.75" x14ac:dyDescent="0.2">
      <c r="A1507" s="693">
        <v>1503</v>
      </c>
      <c r="B1507" s="745" t="str">
        <f t="shared" si="24"/>
        <v>Bhutan</v>
      </c>
      <c r="C1507" s="694" t="s">
        <v>3745</v>
      </c>
      <c r="D1507" s="1046"/>
      <c r="E1507" s="1046"/>
      <c r="F1507" s="1046"/>
      <c r="G1507" s="1046"/>
      <c r="H1507" s="1046"/>
      <c r="I1507" s="1046"/>
      <c r="J1507" s="1046"/>
      <c r="K1507" s="1046"/>
      <c r="L1507" s="1046"/>
      <c r="M1507" s="1046"/>
    </row>
    <row r="1508" spans="1:13" ht="12.75" x14ac:dyDescent="0.2">
      <c r="A1508" s="693">
        <v>1504</v>
      </c>
      <c r="B1508" s="745" t="str">
        <f t="shared" si="24"/>
        <v>Yuan Renminbi</v>
      </c>
      <c r="C1508" s="694" t="s">
        <v>3746</v>
      </c>
      <c r="D1508" s="1046"/>
      <c r="E1508" s="1046"/>
      <c r="F1508" s="1046"/>
      <c r="G1508" s="1046"/>
      <c r="H1508" s="1046"/>
      <c r="I1508" s="1046"/>
      <c r="J1508" s="1046"/>
      <c r="K1508" s="1046"/>
      <c r="L1508" s="1046"/>
      <c r="M1508" s="1046"/>
    </row>
    <row r="1509" spans="1:13" ht="12.75" x14ac:dyDescent="0.2">
      <c r="A1509" s="693">
        <v>1505</v>
      </c>
      <c r="B1509" s="745" t="str">
        <f t="shared" si="24"/>
        <v>Bouvet Island</v>
      </c>
      <c r="C1509" s="694" t="s">
        <v>3747</v>
      </c>
      <c r="D1509" s="1046"/>
      <c r="E1509" s="1046"/>
      <c r="F1509" s="1046"/>
      <c r="G1509" s="1046"/>
      <c r="H1509" s="1046"/>
      <c r="I1509" s="1046"/>
      <c r="J1509" s="1046"/>
      <c r="K1509" s="1046"/>
      <c r="L1509" s="1046"/>
      <c r="M1509" s="1046"/>
    </row>
    <row r="1510" spans="1:13" ht="12.75" x14ac:dyDescent="0.2">
      <c r="A1510" s="693">
        <v>1506</v>
      </c>
      <c r="B1510" s="745" t="str">
        <f t="shared" si="24"/>
        <v>Colombian Peso</v>
      </c>
      <c r="C1510" s="694" t="s">
        <v>3748</v>
      </c>
      <c r="D1510" s="1046"/>
      <c r="E1510" s="1046"/>
      <c r="F1510" s="1046"/>
      <c r="G1510" s="1046"/>
      <c r="H1510" s="1046"/>
      <c r="I1510" s="1046"/>
      <c r="J1510" s="1046"/>
      <c r="K1510" s="1046"/>
      <c r="L1510" s="1046"/>
      <c r="M1510" s="1046"/>
    </row>
    <row r="1511" spans="1:13" ht="12.75" x14ac:dyDescent="0.2">
      <c r="A1511" s="693">
        <v>1507</v>
      </c>
      <c r="B1511" s="745" t="str">
        <f t="shared" si="24"/>
        <v>Botswana</v>
      </c>
      <c r="C1511" s="694" t="s">
        <v>3749</v>
      </c>
      <c r="D1511" s="1046"/>
      <c r="E1511" s="1046"/>
      <c r="F1511" s="1046"/>
      <c r="G1511" s="1046"/>
      <c r="H1511" s="1046"/>
      <c r="I1511" s="1046"/>
      <c r="J1511" s="1046"/>
      <c r="K1511" s="1046"/>
      <c r="L1511" s="1046"/>
      <c r="M1511" s="1046"/>
    </row>
    <row r="1512" spans="1:13" ht="12.75" x14ac:dyDescent="0.2">
      <c r="A1512" s="693">
        <v>1508</v>
      </c>
      <c r="B1512" s="745" t="str">
        <f t="shared" si="24"/>
        <v>Unidad de Valor Real</v>
      </c>
      <c r="C1512" s="694" t="s">
        <v>3750</v>
      </c>
      <c r="D1512" s="1046"/>
      <c r="E1512" s="1046"/>
      <c r="F1512" s="1046"/>
      <c r="G1512" s="1046"/>
      <c r="H1512" s="1046"/>
      <c r="I1512" s="1046"/>
      <c r="J1512" s="1046"/>
      <c r="K1512" s="1046"/>
      <c r="L1512" s="1046"/>
      <c r="M1512" s="1046"/>
    </row>
    <row r="1513" spans="1:13" ht="12.75" x14ac:dyDescent="0.2">
      <c r="A1513" s="693">
        <v>1509</v>
      </c>
      <c r="B1513" s="745" t="str">
        <f t="shared" si="24"/>
        <v>Belarus</v>
      </c>
      <c r="C1513" s="694" t="s">
        <v>3751</v>
      </c>
      <c r="D1513" s="1046"/>
      <c r="E1513" s="1046"/>
      <c r="F1513" s="1046"/>
      <c r="G1513" s="1046"/>
      <c r="H1513" s="1046"/>
      <c r="I1513" s="1046"/>
      <c r="J1513" s="1046"/>
      <c r="K1513" s="1046"/>
      <c r="L1513" s="1046"/>
      <c r="M1513" s="1046"/>
    </row>
    <row r="1514" spans="1:13" ht="12.75" x14ac:dyDescent="0.2">
      <c r="A1514" s="693">
        <v>1510</v>
      </c>
      <c r="B1514" s="745" t="str">
        <f t="shared" si="24"/>
        <v>Costa Rican Colon</v>
      </c>
      <c r="C1514" s="694" t="s">
        <v>3752</v>
      </c>
      <c r="D1514" s="1046"/>
      <c r="E1514" s="1046"/>
      <c r="F1514" s="1046"/>
      <c r="G1514" s="1046"/>
      <c r="H1514" s="1046"/>
      <c r="I1514" s="1046"/>
      <c r="J1514" s="1046"/>
      <c r="K1514" s="1046"/>
      <c r="L1514" s="1046"/>
      <c r="M1514" s="1046"/>
    </row>
    <row r="1515" spans="1:13" ht="12.75" x14ac:dyDescent="0.2">
      <c r="A1515" s="693">
        <v>1511</v>
      </c>
      <c r="B1515" s="745" t="str">
        <f t="shared" si="24"/>
        <v>Belize</v>
      </c>
      <c r="C1515" s="694" t="s">
        <v>3753</v>
      </c>
      <c r="D1515" s="1046"/>
      <c r="E1515" s="1046"/>
      <c r="F1515" s="1046"/>
      <c r="G1515" s="1046"/>
      <c r="H1515" s="1046"/>
      <c r="I1515" s="1046"/>
      <c r="J1515" s="1046"/>
      <c r="K1515" s="1046"/>
      <c r="L1515" s="1046"/>
      <c r="M1515" s="1046"/>
    </row>
    <row r="1516" spans="1:13" ht="12.75" x14ac:dyDescent="0.2">
      <c r="A1516" s="693">
        <v>1512</v>
      </c>
      <c r="B1516" s="745" t="str">
        <f t="shared" si="24"/>
        <v>Peso Convertible</v>
      </c>
      <c r="C1516" s="694" t="s">
        <v>3754</v>
      </c>
      <c r="D1516" s="1046"/>
      <c r="E1516" s="1046"/>
      <c r="F1516" s="1046"/>
      <c r="G1516" s="1046"/>
      <c r="H1516" s="1046"/>
      <c r="I1516" s="1046"/>
      <c r="J1516" s="1046"/>
      <c r="K1516" s="1046"/>
      <c r="L1516" s="1046"/>
      <c r="M1516" s="1046"/>
    </row>
    <row r="1517" spans="1:13" ht="12.75" x14ac:dyDescent="0.2">
      <c r="A1517" s="693">
        <v>1513</v>
      </c>
      <c r="B1517" s="745" t="str">
        <f t="shared" si="24"/>
        <v>Canada</v>
      </c>
      <c r="C1517" s="694" t="s">
        <v>3755</v>
      </c>
      <c r="D1517" s="1046"/>
      <c r="E1517" s="1046"/>
      <c r="F1517" s="1046"/>
      <c r="G1517" s="1046"/>
      <c r="H1517" s="1046"/>
      <c r="I1517" s="1046"/>
      <c r="J1517" s="1046"/>
      <c r="K1517" s="1046"/>
      <c r="L1517" s="1046"/>
      <c r="M1517" s="1046"/>
    </row>
    <row r="1518" spans="1:13" ht="12.75" x14ac:dyDescent="0.2">
      <c r="A1518" s="693">
        <v>1514</v>
      </c>
      <c r="B1518" s="745" t="str">
        <f t="shared" si="24"/>
        <v>Cuban Peso</v>
      </c>
      <c r="C1518" s="694" t="s">
        <v>3756</v>
      </c>
      <c r="D1518" s="1046"/>
      <c r="E1518" s="1046"/>
      <c r="F1518" s="1046"/>
      <c r="G1518" s="1046"/>
      <c r="H1518" s="1046"/>
      <c r="I1518" s="1046"/>
      <c r="J1518" s="1046"/>
      <c r="K1518" s="1046"/>
      <c r="L1518" s="1046"/>
      <c r="M1518" s="1046"/>
    </row>
    <row r="1519" spans="1:13" ht="12.75" x14ac:dyDescent="0.2">
      <c r="A1519" s="693">
        <v>1515</v>
      </c>
      <c r="B1519" s="745" t="str">
        <f t="shared" si="24"/>
        <v>Cocos Islands (or Keeling Islands)</v>
      </c>
      <c r="C1519" s="694" t="s">
        <v>3757</v>
      </c>
      <c r="D1519" s="1046"/>
      <c r="E1519" s="1046"/>
      <c r="F1519" s="1046"/>
      <c r="G1519" s="1046"/>
      <c r="H1519" s="1046"/>
      <c r="I1519" s="1046"/>
      <c r="J1519" s="1046"/>
      <c r="K1519" s="1046"/>
      <c r="L1519" s="1046"/>
      <c r="M1519" s="1046"/>
    </row>
    <row r="1520" spans="1:13" ht="12.75" x14ac:dyDescent="0.2">
      <c r="A1520" s="693">
        <v>1516</v>
      </c>
      <c r="B1520" s="745" t="str">
        <f t="shared" si="24"/>
        <v>Cabo Verde Escudo</v>
      </c>
      <c r="C1520" s="694" t="s">
        <v>3758</v>
      </c>
      <c r="D1520" s="1046"/>
      <c r="E1520" s="1046"/>
      <c r="F1520" s="1046"/>
      <c r="G1520" s="1046"/>
      <c r="H1520" s="1046"/>
      <c r="I1520" s="1046"/>
      <c r="J1520" s="1046"/>
      <c r="K1520" s="1046"/>
      <c r="L1520" s="1046"/>
      <c r="M1520" s="1046"/>
    </row>
    <row r="1521" spans="1:13" ht="12.75" x14ac:dyDescent="0.2">
      <c r="A1521" s="693">
        <v>1517</v>
      </c>
      <c r="B1521" s="745" t="str">
        <f t="shared" si="24"/>
        <v>Congo, Democratic Republic of</v>
      </c>
      <c r="C1521" s="694" t="s">
        <v>3759</v>
      </c>
      <c r="D1521" s="1046"/>
      <c r="E1521" s="1046"/>
      <c r="F1521" s="1046"/>
      <c r="G1521" s="1046"/>
      <c r="H1521" s="1046"/>
      <c r="I1521" s="1046"/>
      <c r="J1521" s="1046"/>
      <c r="K1521" s="1046"/>
      <c r="L1521" s="1046"/>
      <c r="M1521" s="1046"/>
    </row>
    <row r="1522" spans="1:13" ht="12.75" x14ac:dyDescent="0.2">
      <c r="A1522" s="693">
        <v>1518</v>
      </c>
      <c r="B1522" s="745" t="str">
        <f t="shared" si="24"/>
        <v>Czech Koruna</v>
      </c>
      <c r="C1522" s="694" t="s">
        <v>3760</v>
      </c>
      <c r="D1522" s="1046"/>
      <c r="E1522" s="1046"/>
      <c r="F1522" s="1046"/>
      <c r="G1522" s="1046"/>
      <c r="H1522" s="1046"/>
      <c r="I1522" s="1046"/>
      <c r="J1522" s="1046"/>
      <c r="K1522" s="1046"/>
      <c r="L1522" s="1046"/>
      <c r="M1522" s="1046"/>
    </row>
    <row r="1523" spans="1:13" ht="12.75" x14ac:dyDescent="0.2">
      <c r="A1523" s="693">
        <v>1519</v>
      </c>
      <c r="B1523" s="745" t="str">
        <f t="shared" si="24"/>
        <v>Central African Republic</v>
      </c>
      <c r="C1523" s="694" t="s">
        <v>3761</v>
      </c>
      <c r="D1523" s="1046"/>
      <c r="E1523" s="1046"/>
      <c r="F1523" s="1046"/>
      <c r="G1523" s="1046"/>
      <c r="H1523" s="1046"/>
      <c r="I1523" s="1046"/>
      <c r="J1523" s="1046"/>
      <c r="K1523" s="1046"/>
      <c r="L1523" s="1046"/>
      <c r="M1523" s="1046"/>
    </row>
    <row r="1524" spans="1:13" ht="12.75" x14ac:dyDescent="0.2">
      <c r="A1524" s="693">
        <v>1520</v>
      </c>
      <c r="B1524" s="745" t="str">
        <f t="shared" si="24"/>
        <v>Djibouti Franc</v>
      </c>
      <c r="C1524" s="694" t="s">
        <v>3762</v>
      </c>
      <c r="D1524" s="1046"/>
      <c r="E1524" s="1046"/>
      <c r="F1524" s="1046"/>
      <c r="G1524" s="1046"/>
      <c r="H1524" s="1046"/>
      <c r="I1524" s="1046"/>
      <c r="J1524" s="1046"/>
      <c r="K1524" s="1046"/>
      <c r="L1524" s="1046"/>
      <c r="M1524" s="1046"/>
    </row>
    <row r="1525" spans="1:13" ht="12.75" x14ac:dyDescent="0.2">
      <c r="A1525" s="693">
        <v>1521</v>
      </c>
      <c r="B1525" s="745" t="str">
        <f t="shared" si="24"/>
        <v>Congo</v>
      </c>
      <c r="C1525" s="694" t="s">
        <v>3763</v>
      </c>
      <c r="D1525" s="1046"/>
      <c r="E1525" s="1046"/>
      <c r="F1525" s="1046"/>
      <c r="G1525" s="1046"/>
      <c r="H1525" s="1046"/>
      <c r="I1525" s="1046"/>
      <c r="J1525" s="1046"/>
      <c r="K1525" s="1046"/>
      <c r="L1525" s="1046"/>
      <c r="M1525" s="1046"/>
    </row>
    <row r="1526" spans="1:13" ht="12.75" x14ac:dyDescent="0.2">
      <c r="A1526" s="693">
        <v>1522</v>
      </c>
      <c r="B1526" s="745" t="str">
        <f t="shared" si="24"/>
        <v>Danish Krone</v>
      </c>
      <c r="C1526" s="694" t="s">
        <v>3764</v>
      </c>
      <c r="D1526" s="1046"/>
      <c r="E1526" s="1046"/>
      <c r="F1526" s="1046"/>
      <c r="G1526" s="1046"/>
      <c r="H1526" s="1046"/>
      <c r="I1526" s="1046"/>
      <c r="J1526" s="1046"/>
      <c r="K1526" s="1046"/>
      <c r="L1526" s="1046"/>
      <c r="M1526" s="1046"/>
    </row>
    <row r="1527" spans="1:13" ht="12.75" x14ac:dyDescent="0.2">
      <c r="A1527" s="693">
        <v>1523</v>
      </c>
      <c r="B1527" s="745" t="str">
        <f t="shared" si="24"/>
        <v>Switzerland</v>
      </c>
      <c r="C1527" s="694" t="s">
        <v>3765</v>
      </c>
      <c r="D1527" s="1046"/>
      <c r="E1527" s="1046"/>
      <c r="F1527" s="1046"/>
      <c r="G1527" s="1046"/>
      <c r="H1527" s="1046"/>
      <c r="I1527" s="1046"/>
      <c r="J1527" s="1046"/>
      <c r="K1527" s="1046"/>
      <c r="L1527" s="1046"/>
      <c r="M1527" s="1046"/>
    </row>
    <row r="1528" spans="1:13" ht="12.75" x14ac:dyDescent="0.2">
      <c r="A1528" s="693">
        <v>1524</v>
      </c>
      <c r="B1528" s="745" t="str">
        <f t="shared" si="24"/>
        <v>Dominican Peso</v>
      </c>
      <c r="C1528" s="694" t="s">
        <v>3766</v>
      </c>
      <c r="D1528" s="1046"/>
      <c r="E1528" s="1046"/>
      <c r="F1528" s="1046"/>
      <c r="G1528" s="1046"/>
      <c r="H1528" s="1046"/>
      <c r="I1528" s="1046"/>
      <c r="J1528" s="1046"/>
      <c r="K1528" s="1046"/>
      <c r="L1528" s="1046"/>
      <c r="M1528" s="1046"/>
    </row>
    <row r="1529" spans="1:13" ht="12.75" x14ac:dyDescent="0.2">
      <c r="A1529" s="693">
        <v>1525</v>
      </c>
      <c r="B1529" s="745" t="str">
        <f t="shared" si="24"/>
        <v>Côte d'Ivoire</v>
      </c>
      <c r="C1529" s="694" t="s">
        <v>3767</v>
      </c>
      <c r="D1529" s="1046"/>
      <c r="E1529" s="1046"/>
      <c r="F1529" s="1046"/>
      <c r="G1529" s="1046"/>
      <c r="H1529" s="1046"/>
      <c r="I1529" s="1046"/>
      <c r="J1529" s="1046"/>
      <c r="K1529" s="1046"/>
      <c r="L1529" s="1046"/>
      <c r="M1529" s="1046"/>
    </row>
    <row r="1530" spans="1:13" ht="12.75" x14ac:dyDescent="0.2">
      <c r="A1530" s="693">
        <v>1526</v>
      </c>
      <c r="B1530" s="745" t="str">
        <f t="shared" si="24"/>
        <v>Algerian Dinar</v>
      </c>
      <c r="C1530" s="694" t="s">
        <v>3768</v>
      </c>
      <c r="D1530" s="1046"/>
      <c r="E1530" s="1046"/>
      <c r="F1530" s="1046"/>
      <c r="G1530" s="1046"/>
      <c r="H1530" s="1046"/>
      <c r="I1530" s="1046"/>
      <c r="J1530" s="1046"/>
      <c r="K1530" s="1046"/>
      <c r="L1530" s="1046"/>
      <c r="M1530" s="1046"/>
    </row>
    <row r="1531" spans="1:13" ht="12.75" x14ac:dyDescent="0.2">
      <c r="A1531" s="693">
        <v>1527</v>
      </c>
      <c r="B1531" s="745" t="str">
        <f t="shared" si="24"/>
        <v>Cook Islands</v>
      </c>
      <c r="C1531" s="694" t="s">
        <v>3769</v>
      </c>
      <c r="D1531" s="1046"/>
      <c r="E1531" s="1046"/>
      <c r="F1531" s="1046"/>
      <c r="G1531" s="1046"/>
      <c r="H1531" s="1046"/>
      <c r="I1531" s="1046"/>
      <c r="J1531" s="1046"/>
      <c r="K1531" s="1046"/>
      <c r="L1531" s="1046"/>
      <c r="M1531" s="1046"/>
    </row>
    <row r="1532" spans="1:13" ht="12.75" x14ac:dyDescent="0.2">
      <c r="A1532" s="693">
        <v>1528</v>
      </c>
      <c r="B1532" s="745" t="str">
        <f t="shared" si="24"/>
        <v>Egyptian Pound</v>
      </c>
      <c r="C1532" s="694" t="s">
        <v>3770</v>
      </c>
      <c r="D1532" s="1046"/>
      <c r="E1532" s="1046"/>
      <c r="F1532" s="1046"/>
      <c r="G1532" s="1046"/>
      <c r="H1532" s="1046"/>
      <c r="I1532" s="1046"/>
      <c r="J1532" s="1046"/>
      <c r="K1532" s="1046"/>
      <c r="L1532" s="1046"/>
      <c r="M1532" s="1046"/>
    </row>
    <row r="1533" spans="1:13" ht="12.75" x14ac:dyDescent="0.2">
      <c r="A1533" s="693">
        <v>1529</v>
      </c>
      <c r="B1533" s="745" t="str">
        <f t="shared" si="24"/>
        <v>Chile</v>
      </c>
      <c r="C1533" s="694" t="s">
        <v>3771</v>
      </c>
      <c r="D1533" s="1046"/>
      <c r="E1533" s="1046"/>
      <c r="F1533" s="1046"/>
      <c r="G1533" s="1046"/>
      <c r="H1533" s="1046"/>
      <c r="I1533" s="1046"/>
      <c r="J1533" s="1046"/>
      <c r="K1533" s="1046"/>
      <c r="L1533" s="1046"/>
      <c r="M1533" s="1046"/>
    </row>
    <row r="1534" spans="1:13" ht="12.75" x14ac:dyDescent="0.2">
      <c r="A1534" s="693">
        <v>1530</v>
      </c>
      <c r="B1534" s="745" t="str">
        <f t="shared" si="24"/>
        <v>Nakfa</v>
      </c>
      <c r="C1534" s="694" t="s">
        <v>3772</v>
      </c>
      <c r="D1534" s="1046"/>
      <c r="E1534" s="1046"/>
      <c r="F1534" s="1046"/>
      <c r="G1534" s="1046"/>
      <c r="H1534" s="1046"/>
      <c r="I1534" s="1046"/>
      <c r="J1534" s="1046"/>
      <c r="K1534" s="1046"/>
      <c r="L1534" s="1046"/>
      <c r="M1534" s="1046"/>
    </row>
    <row r="1535" spans="1:13" ht="12.75" x14ac:dyDescent="0.2">
      <c r="A1535" s="693">
        <v>1531</v>
      </c>
      <c r="B1535" s="745" t="str">
        <f t="shared" si="24"/>
        <v>Cameroon</v>
      </c>
      <c r="C1535" s="694" t="s">
        <v>3773</v>
      </c>
      <c r="D1535" s="1046"/>
      <c r="E1535" s="1046"/>
      <c r="F1535" s="1046"/>
      <c r="G1535" s="1046"/>
      <c r="H1535" s="1046"/>
      <c r="I1535" s="1046"/>
      <c r="J1535" s="1046"/>
      <c r="K1535" s="1046"/>
      <c r="L1535" s="1046"/>
      <c r="M1535" s="1046"/>
    </row>
    <row r="1536" spans="1:13" ht="12.75" x14ac:dyDescent="0.2">
      <c r="A1536" s="693">
        <v>1532</v>
      </c>
      <c r="B1536" s="745" t="str">
        <f t="shared" si="24"/>
        <v>Ethiopian Birr</v>
      </c>
      <c r="C1536" s="694" t="s">
        <v>3774</v>
      </c>
      <c r="D1536" s="1046"/>
      <c r="E1536" s="1046"/>
      <c r="F1536" s="1046"/>
      <c r="G1536" s="1046"/>
      <c r="H1536" s="1046"/>
      <c r="I1536" s="1046"/>
      <c r="J1536" s="1046"/>
      <c r="K1536" s="1046"/>
      <c r="L1536" s="1046"/>
      <c r="M1536" s="1046"/>
    </row>
    <row r="1537" spans="1:13" ht="12.75" x14ac:dyDescent="0.2">
      <c r="A1537" s="693">
        <v>1533</v>
      </c>
      <c r="B1537" s="745" t="str">
        <f t="shared" si="24"/>
        <v>China</v>
      </c>
      <c r="C1537" s="694" t="s">
        <v>3775</v>
      </c>
      <c r="D1537" s="1046"/>
      <c r="E1537" s="1046"/>
      <c r="F1537" s="1046"/>
      <c r="G1537" s="1046"/>
      <c r="H1537" s="1046"/>
      <c r="I1537" s="1046"/>
      <c r="J1537" s="1046"/>
      <c r="K1537" s="1046"/>
      <c r="L1537" s="1046"/>
      <c r="M1537" s="1046"/>
    </row>
    <row r="1538" spans="1:13" ht="12.75" x14ac:dyDescent="0.2">
      <c r="A1538" s="693">
        <v>1534</v>
      </c>
      <c r="B1538" s="745" t="str">
        <f t="shared" si="24"/>
        <v>Euro</v>
      </c>
      <c r="C1538" s="694" t="s">
        <v>3776</v>
      </c>
      <c r="D1538" s="1046"/>
      <c r="E1538" s="1046"/>
      <c r="F1538" s="1046"/>
      <c r="G1538" s="1046"/>
      <c r="H1538" s="1046"/>
      <c r="I1538" s="1046"/>
      <c r="J1538" s="1046"/>
      <c r="K1538" s="1046"/>
      <c r="L1538" s="1046"/>
      <c r="M1538" s="1046"/>
    </row>
    <row r="1539" spans="1:13" ht="12.75" x14ac:dyDescent="0.2">
      <c r="A1539" s="693">
        <v>1535</v>
      </c>
      <c r="B1539" s="745" t="str">
        <f t="shared" si="24"/>
        <v>Colombia</v>
      </c>
      <c r="C1539" s="694" t="s">
        <v>3777</v>
      </c>
      <c r="D1539" s="1046"/>
      <c r="E1539" s="1046"/>
      <c r="F1539" s="1046"/>
      <c r="G1539" s="1046"/>
      <c r="H1539" s="1046"/>
      <c r="I1539" s="1046"/>
      <c r="J1539" s="1046"/>
      <c r="K1539" s="1046"/>
      <c r="L1539" s="1046"/>
      <c r="M1539" s="1046"/>
    </row>
    <row r="1540" spans="1:13" ht="12.75" x14ac:dyDescent="0.2">
      <c r="A1540" s="693">
        <v>1536</v>
      </c>
      <c r="B1540" s="745" t="str">
        <f t="shared" si="24"/>
        <v>Fiji Dollar</v>
      </c>
      <c r="C1540" s="694" t="s">
        <v>3778</v>
      </c>
      <c r="D1540" s="1046"/>
      <c r="E1540" s="1046"/>
      <c r="F1540" s="1046"/>
      <c r="G1540" s="1046"/>
      <c r="H1540" s="1046"/>
      <c r="I1540" s="1046"/>
      <c r="J1540" s="1046"/>
      <c r="K1540" s="1046"/>
      <c r="L1540" s="1046"/>
      <c r="M1540" s="1046"/>
    </row>
    <row r="1541" spans="1:13" ht="12.75" x14ac:dyDescent="0.2">
      <c r="A1541" s="693">
        <v>1537</v>
      </c>
      <c r="B1541" s="745" t="str">
        <f t="shared" si="24"/>
        <v>Costa Rica</v>
      </c>
      <c r="C1541" s="694" t="s">
        <v>3779</v>
      </c>
      <c r="D1541" s="1046"/>
      <c r="E1541" s="1046"/>
      <c r="F1541" s="1046"/>
      <c r="G1541" s="1046"/>
      <c r="H1541" s="1046"/>
      <c r="I1541" s="1046"/>
      <c r="J1541" s="1046"/>
      <c r="K1541" s="1046"/>
      <c r="L1541" s="1046"/>
      <c r="M1541" s="1046"/>
    </row>
    <row r="1542" spans="1:13" ht="12.75" x14ac:dyDescent="0.2">
      <c r="A1542" s="693">
        <v>1538</v>
      </c>
      <c r="B1542" s="745" t="str">
        <f t="shared" si="24"/>
        <v>Falkland Islands Pound</v>
      </c>
      <c r="C1542" s="694" t="s">
        <v>3780</v>
      </c>
      <c r="D1542" s="1046"/>
      <c r="E1542" s="1046"/>
      <c r="F1542" s="1046"/>
      <c r="G1542" s="1046"/>
      <c r="H1542" s="1046"/>
      <c r="I1542" s="1046"/>
      <c r="J1542" s="1046"/>
      <c r="K1542" s="1046"/>
      <c r="L1542" s="1046"/>
      <c r="M1542" s="1046"/>
    </row>
    <row r="1543" spans="1:13" ht="12.75" x14ac:dyDescent="0.2">
      <c r="A1543" s="693">
        <v>1539</v>
      </c>
      <c r="B1543" s="745" t="str">
        <f t="shared" si="24"/>
        <v>Serbia and Montenegro</v>
      </c>
      <c r="C1543" s="694" t="s">
        <v>3781</v>
      </c>
      <c r="D1543" s="1046"/>
      <c r="E1543" s="1046"/>
      <c r="F1543" s="1046"/>
      <c r="G1543" s="1046"/>
      <c r="H1543" s="1046"/>
      <c r="I1543" s="1046"/>
      <c r="J1543" s="1046"/>
      <c r="K1543" s="1046"/>
      <c r="L1543" s="1046"/>
      <c r="M1543" s="1046"/>
    </row>
    <row r="1544" spans="1:13" ht="12.75" x14ac:dyDescent="0.2">
      <c r="A1544" s="693">
        <v>1540</v>
      </c>
      <c r="B1544" s="745" t="str">
        <f t="shared" si="24"/>
        <v>Pound Sterling</v>
      </c>
      <c r="C1544" s="694" t="s">
        <v>3782</v>
      </c>
      <c r="D1544" s="1046"/>
      <c r="E1544" s="1046"/>
      <c r="F1544" s="1046"/>
      <c r="G1544" s="1046"/>
      <c r="H1544" s="1046"/>
      <c r="I1544" s="1046"/>
      <c r="J1544" s="1046"/>
      <c r="K1544" s="1046"/>
      <c r="L1544" s="1046"/>
      <c r="M1544" s="1046"/>
    </row>
    <row r="1545" spans="1:13" ht="12.75" x14ac:dyDescent="0.2">
      <c r="A1545" s="693">
        <v>1541</v>
      </c>
      <c r="B1545" s="745" t="str">
        <f t="shared" si="24"/>
        <v>Cuba</v>
      </c>
      <c r="C1545" s="694" t="s">
        <v>3783</v>
      </c>
      <c r="D1545" s="1046"/>
      <c r="E1545" s="1046"/>
      <c r="F1545" s="1046"/>
      <c r="G1545" s="1046"/>
      <c r="H1545" s="1046"/>
      <c r="I1545" s="1046"/>
      <c r="J1545" s="1046"/>
      <c r="K1545" s="1046"/>
      <c r="L1545" s="1046"/>
      <c r="M1545" s="1046"/>
    </row>
    <row r="1546" spans="1:13" ht="12.75" x14ac:dyDescent="0.2">
      <c r="A1546" s="693">
        <v>1542</v>
      </c>
      <c r="B1546" s="745" t="str">
        <f t="shared" si="24"/>
        <v>Lari</v>
      </c>
      <c r="C1546" s="694" t="s">
        <v>3784</v>
      </c>
      <c r="D1546" s="1046"/>
      <c r="E1546" s="1046"/>
      <c r="F1546" s="1046"/>
      <c r="G1546" s="1046"/>
      <c r="H1546" s="1046"/>
      <c r="I1546" s="1046"/>
      <c r="J1546" s="1046"/>
      <c r="K1546" s="1046"/>
      <c r="L1546" s="1046"/>
      <c r="M1546" s="1046"/>
    </row>
    <row r="1547" spans="1:13" ht="12.75" x14ac:dyDescent="0.2">
      <c r="A1547" s="693">
        <v>1543</v>
      </c>
      <c r="B1547" s="745" t="str">
        <f t="shared" ref="B1547:B1610" si="25">IFERROR(INDEX(C1547:M1547,$A$4-2),$C1547)</f>
        <v>Cape Verde</v>
      </c>
      <c r="C1547" s="694" t="s">
        <v>3785</v>
      </c>
      <c r="D1547" s="1046"/>
      <c r="E1547" s="1046"/>
      <c r="F1547" s="1046"/>
      <c r="G1547" s="1046"/>
      <c r="H1547" s="1046"/>
      <c r="I1547" s="1046"/>
      <c r="J1547" s="1046"/>
      <c r="K1547" s="1046"/>
      <c r="L1547" s="1046"/>
      <c r="M1547" s="1046"/>
    </row>
    <row r="1548" spans="1:13" ht="12.75" x14ac:dyDescent="0.2">
      <c r="A1548" s="693">
        <v>1544</v>
      </c>
      <c r="B1548" s="745" t="str">
        <f t="shared" si="25"/>
        <v>Ghana Cedi</v>
      </c>
      <c r="C1548" s="694" t="s">
        <v>3786</v>
      </c>
      <c r="D1548" s="1046"/>
      <c r="E1548" s="1046"/>
      <c r="F1548" s="1046"/>
      <c r="G1548" s="1046"/>
      <c r="H1548" s="1046"/>
      <c r="I1548" s="1046"/>
      <c r="J1548" s="1046"/>
      <c r="K1548" s="1046"/>
      <c r="L1548" s="1046"/>
      <c r="M1548" s="1046"/>
    </row>
    <row r="1549" spans="1:13" ht="12.75" x14ac:dyDescent="0.2">
      <c r="A1549" s="693">
        <v>1545</v>
      </c>
      <c r="B1549" s="745" t="str">
        <f t="shared" si="25"/>
        <v>Curaçao</v>
      </c>
      <c r="C1549" s="694" t="s">
        <v>3787</v>
      </c>
      <c r="D1549" s="1046"/>
      <c r="E1549" s="1046"/>
      <c r="F1549" s="1046"/>
      <c r="G1549" s="1046"/>
      <c r="H1549" s="1046"/>
      <c r="I1549" s="1046"/>
      <c r="J1549" s="1046"/>
      <c r="K1549" s="1046"/>
      <c r="L1549" s="1046"/>
      <c r="M1549" s="1046"/>
    </row>
    <row r="1550" spans="1:13" ht="12.75" x14ac:dyDescent="0.2">
      <c r="A1550" s="693">
        <v>1546</v>
      </c>
      <c r="B1550" s="745" t="str">
        <f t="shared" si="25"/>
        <v>Gibraltar Pound</v>
      </c>
      <c r="C1550" s="694" t="s">
        <v>3788</v>
      </c>
      <c r="D1550" s="1046"/>
      <c r="E1550" s="1046"/>
      <c r="F1550" s="1046"/>
      <c r="G1550" s="1046"/>
      <c r="H1550" s="1046"/>
      <c r="I1550" s="1046"/>
      <c r="J1550" s="1046"/>
      <c r="K1550" s="1046"/>
      <c r="L1550" s="1046"/>
      <c r="M1550" s="1046"/>
    </row>
    <row r="1551" spans="1:13" ht="12.75" x14ac:dyDescent="0.2">
      <c r="A1551" s="693">
        <v>1547</v>
      </c>
      <c r="B1551" s="745" t="str">
        <f t="shared" si="25"/>
        <v>Christmas Island</v>
      </c>
      <c r="C1551" s="694" t="s">
        <v>3789</v>
      </c>
      <c r="D1551" s="1046"/>
      <c r="E1551" s="1046"/>
      <c r="F1551" s="1046"/>
      <c r="G1551" s="1046"/>
      <c r="H1551" s="1046"/>
      <c r="I1551" s="1046"/>
      <c r="J1551" s="1046"/>
      <c r="K1551" s="1046"/>
      <c r="L1551" s="1046"/>
      <c r="M1551" s="1046"/>
    </row>
    <row r="1552" spans="1:13" ht="12.75" x14ac:dyDescent="0.2">
      <c r="A1552" s="693">
        <v>1548</v>
      </c>
      <c r="B1552" s="745" t="str">
        <f t="shared" si="25"/>
        <v>Dalasi</v>
      </c>
      <c r="C1552" s="694" t="s">
        <v>3790</v>
      </c>
      <c r="D1552" s="1046"/>
      <c r="E1552" s="1046"/>
      <c r="F1552" s="1046"/>
      <c r="G1552" s="1046"/>
      <c r="H1552" s="1046"/>
      <c r="I1552" s="1046"/>
      <c r="J1552" s="1046"/>
      <c r="K1552" s="1046"/>
      <c r="L1552" s="1046"/>
      <c r="M1552" s="1046"/>
    </row>
    <row r="1553" spans="1:13" ht="12.75" x14ac:dyDescent="0.2">
      <c r="A1553" s="693">
        <v>1549</v>
      </c>
      <c r="B1553" s="745" t="str">
        <f t="shared" si="25"/>
        <v>Guinean Franc</v>
      </c>
      <c r="C1553" s="694" t="s">
        <v>3791</v>
      </c>
      <c r="D1553" s="1046"/>
      <c r="E1553" s="1046"/>
      <c r="F1553" s="1046"/>
      <c r="G1553" s="1046"/>
      <c r="H1553" s="1046"/>
      <c r="I1553" s="1046"/>
      <c r="J1553" s="1046"/>
      <c r="K1553" s="1046"/>
      <c r="L1553" s="1046"/>
      <c r="M1553" s="1046"/>
    </row>
    <row r="1554" spans="1:13" ht="12.75" x14ac:dyDescent="0.2">
      <c r="A1554" s="693">
        <v>1550</v>
      </c>
      <c r="B1554" s="745" t="str">
        <f t="shared" si="25"/>
        <v>Czechia</v>
      </c>
      <c r="C1554" s="694" t="s">
        <v>3792</v>
      </c>
      <c r="D1554" s="1046"/>
      <c r="E1554" s="1046"/>
      <c r="F1554" s="1046"/>
      <c r="G1554" s="1046"/>
      <c r="H1554" s="1046"/>
      <c r="I1554" s="1046"/>
      <c r="J1554" s="1046"/>
      <c r="K1554" s="1046"/>
      <c r="L1554" s="1046"/>
      <c r="M1554" s="1046"/>
    </row>
    <row r="1555" spans="1:13" ht="12.75" x14ac:dyDescent="0.2">
      <c r="A1555" s="693">
        <v>1551</v>
      </c>
      <c r="B1555" s="745" t="str">
        <f t="shared" si="25"/>
        <v>Quetzal</v>
      </c>
      <c r="C1555" s="694" t="s">
        <v>3793</v>
      </c>
      <c r="D1555" s="1046"/>
      <c r="E1555" s="1046"/>
      <c r="F1555" s="1046"/>
      <c r="G1555" s="1046"/>
      <c r="H1555" s="1046"/>
      <c r="I1555" s="1046"/>
      <c r="J1555" s="1046"/>
      <c r="K1555" s="1046"/>
      <c r="L1555" s="1046"/>
      <c r="M1555" s="1046"/>
    </row>
    <row r="1556" spans="1:13" ht="12.75" x14ac:dyDescent="0.2">
      <c r="A1556" s="693">
        <v>1552</v>
      </c>
      <c r="B1556" s="745" t="str">
        <f t="shared" si="25"/>
        <v>Guyana Dollar</v>
      </c>
      <c r="C1556" s="694" t="s">
        <v>3794</v>
      </c>
      <c r="D1556" s="1046"/>
      <c r="E1556" s="1046"/>
      <c r="F1556" s="1046"/>
      <c r="G1556" s="1046"/>
      <c r="H1556" s="1046"/>
      <c r="I1556" s="1046"/>
      <c r="J1556" s="1046"/>
      <c r="K1556" s="1046"/>
      <c r="L1556" s="1046"/>
      <c r="M1556" s="1046"/>
    </row>
    <row r="1557" spans="1:13" ht="12.75" x14ac:dyDescent="0.2">
      <c r="A1557" s="693">
        <v>1553</v>
      </c>
      <c r="B1557" s="745" t="str">
        <f t="shared" si="25"/>
        <v>Djibouti</v>
      </c>
      <c r="C1557" s="694" t="s">
        <v>3795</v>
      </c>
      <c r="D1557" s="1046"/>
      <c r="E1557" s="1046"/>
      <c r="F1557" s="1046"/>
      <c r="G1557" s="1046"/>
      <c r="H1557" s="1046"/>
      <c r="I1557" s="1046"/>
      <c r="J1557" s="1046"/>
      <c r="K1557" s="1046"/>
      <c r="L1557" s="1046"/>
      <c r="M1557" s="1046"/>
    </row>
    <row r="1558" spans="1:13" ht="12.75" x14ac:dyDescent="0.2">
      <c r="A1558" s="693">
        <v>1554</v>
      </c>
      <c r="B1558" s="745" t="str">
        <f t="shared" si="25"/>
        <v>Hong Kong Dollar</v>
      </c>
      <c r="C1558" s="694" t="s">
        <v>3796</v>
      </c>
      <c r="D1558" s="1046"/>
      <c r="E1558" s="1046"/>
      <c r="F1558" s="1046"/>
      <c r="G1558" s="1046"/>
      <c r="H1558" s="1046"/>
      <c r="I1558" s="1046"/>
      <c r="J1558" s="1046"/>
      <c r="K1558" s="1046"/>
      <c r="L1558" s="1046"/>
      <c r="M1558" s="1046"/>
    </row>
    <row r="1559" spans="1:13" ht="12.75" x14ac:dyDescent="0.2">
      <c r="A1559" s="693">
        <v>1555</v>
      </c>
      <c r="B1559" s="745" t="str">
        <f t="shared" si="25"/>
        <v>Lempira</v>
      </c>
      <c r="C1559" s="694" t="s">
        <v>3797</v>
      </c>
      <c r="D1559" s="1046"/>
      <c r="E1559" s="1046"/>
      <c r="F1559" s="1046"/>
      <c r="G1559" s="1046"/>
      <c r="H1559" s="1046"/>
      <c r="I1559" s="1046"/>
      <c r="J1559" s="1046"/>
      <c r="K1559" s="1046"/>
      <c r="L1559" s="1046"/>
      <c r="M1559" s="1046"/>
    </row>
    <row r="1560" spans="1:13" ht="12.75" x14ac:dyDescent="0.2">
      <c r="A1560" s="693">
        <v>1556</v>
      </c>
      <c r="B1560" s="745" t="str">
        <f t="shared" si="25"/>
        <v>Dominica</v>
      </c>
      <c r="C1560" s="694" t="s">
        <v>3798</v>
      </c>
      <c r="D1560" s="1046"/>
      <c r="E1560" s="1046"/>
      <c r="F1560" s="1046"/>
      <c r="G1560" s="1046"/>
      <c r="H1560" s="1046"/>
      <c r="I1560" s="1046"/>
      <c r="J1560" s="1046"/>
      <c r="K1560" s="1046"/>
      <c r="L1560" s="1046"/>
      <c r="M1560" s="1046"/>
    </row>
    <row r="1561" spans="1:13" ht="12.75" x14ac:dyDescent="0.2">
      <c r="A1561" s="693">
        <v>1557</v>
      </c>
      <c r="B1561" s="745" t="str">
        <f t="shared" si="25"/>
        <v>Gourde</v>
      </c>
      <c r="C1561" s="694" t="s">
        <v>3799</v>
      </c>
      <c r="D1561" s="1046"/>
      <c r="E1561" s="1046"/>
      <c r="F1561" s="1046"/>
      <c r="G1561" s="1046"/>
      <c r="H1561" s="1046"/>
      <c r="I1561" s="1046"/>
      <c r="J1561" s="1046"/>
      <c r="K1561" s="1046"/>
      <c r="L1561" s="1046"/>
      <c r="M1561" s="1046"/>
    </row>
    <row r="1562" spans="1:13" ht="12.75" x14ac:dyDescent="0.2">
      <c r="A1562" s="693">
        <v>1558</v>
      </c>
      <c r="B1562" s="745" t="str">
        <f t="shared" si="25"/>
        <v>Dominican Republic</v>
      </c>
      <c r="C1562" s="694" t="s">
        <v>3800</v>
      </c>
      <c r="D1562" s="1046"/>
      <c r="E1562" s="1046"/>
      <c r="F1562" s="1046"/>
      <c r="G1562" s="1046"/>
      <c r="H1562" s="1046"/>
      <c r="I1562" s="1046"/>
      <c r="J1562" s="1046"/>
      <c r="K1562" s="1046"/>
      <c r="L1562" s="1046"/>
      <c r="M1562" s="1046"/>
    </row>
    <row r="1563" spans="1:13" ht="12.75" x14ac:dyDescent="0.2">
      <c r="A1563" s="693">
        <v>1559</v>
      </c>
      <c r="B1563" s="745" t="str">
        <f t="shared" si="25"/>
        <v>Forint</v>
      </c>
      <c r="C1563" s="694" t="s">
        <v>3801</v>
      </c>
      <c r="D1563" s="1046"/>
      <c r="E1563" s="1046"/>
      <c r="F1563" s="1046"/>
      <c r="G1563" s="1046"/>
      <c r="H1563" s="1046"/>
      <c r="I1563" s="1046"/>
      <c r="J1563" s="1046"/>
      <c r="K1563" s="1046"/>
      <c r="L1563" s="1046"/>
      <c r="M1563" s="1046"/>
    </row>
    <row r="1564" spans="1:13" ht="12.75" x14ac:dyDescent="0.2">
      <c r="A1564" s="693">
        <v>1560</v>
      </c>
      <c r="B1564" s="745" t="str">
        <f t="shared" si="25"/>
        <v>Algeria</v>
      </c>
      <c r="C1564" s="694" t="s">
        <v>3802</v>
      </c>
      <c r="D1564" s="1046"/>
      <c r="E1564" s="1046"/>
      <c r="F1564" s="1046"/>
      <c r="G1564" s="1046"/>
      <c r="H1564" s="1046"/>
      <c r="I1564" s="1046"/>
      <c r="J1564" s="1046"/>
      <c r="K1564" s="1046"/>
      <c r="L1564" s="1046"/>
      <c r="M1564" s="1046"/>
    </row>
    <row r="1565" spans="1:13" ht="12.75" x14ac:dyDescent="0.2">
      <c r="A1565" s="693">
        <v>1561</v>
      </c>
      <c r="B1565" s="745" t="str">
        <f t="shared" si="25"/>
        <v>Rupiah</v>
      </c>
      <c r="C1565" s="694" t="s">
        <v>3803</v>
      </c>
      <c r="D1565" s="1046"/>
      <c r="E1565" s="1046"/>
      <c r="F1565" s="1046"/>
      <c r="G1565" s="1046"/>
      <c r="H1565" s="1046"/>
      <c r="I1565" s="1046"/>
      <c r="J1565" s="1046"/>
      <c r="K1565" s="1046"/>
      <c r="L1565" s="1046"/>
      <c r="M1565" s="1046"/>
    </row>
    <row r="1566" spans="1:13" ht="12.75" x14ac:dyDescent="0.2">
      <c r="A1566" s="693">
        <v>1562</v>
      </c>
      <c r="B1566" s="745" t="str">
        <f t="shared" si="25"/>
        <v>Ecuador</v>
      </c>
      <c r="C1566" s="694" t="s">
        <v>3804</v>
      </c>
      <c r="D1566" s="1046"/>
      <c r="E1566" s="1046"/>
      <c r="F1566" s="1046"/>
      <c r="G1566" s="1046"/>
      <c r="H1566" s="1046"/>
      <c r="I1566" s="1046"/>
      <c r="J1566" s="1046"/>
      <c r="K1566" s="1046"/>
      <c r="L1566" s="1046"/>
      <c r="M1566" s="1046"/>
    </row>
    <row r="1567" spans="1:13" ht="12.75" x14ac:dyDescent="0.2">
      <c r="A1567" s="693">
        <v>1563</v>
      </c>
      <c r="B1567" s="745" t="str">
        <f t="shared" si="25"/>
        <v>New Israeli Sheqel</v>
      </c>
      <c r="C1567" s="694" t="s">
        <v>3805</v>
      </c>
      <c r="D1567" s="1046"/>
      <c r="E1567" s="1046"/>
      <c r="F1567" s="1046"/>
      <c r="G1567" s="1046"/>
      <c r="H1567" s="1046"/>
      <c r="I1567" s="1046"/>
      <c r="J1567" s="1046"/>
      <c r="K1567" s="1046"/>
      <c r="L1567" s="1046"/>
      <c r="M1567" s="1046"/>
    </row>
    <row r="1568" spans="1:13" ht="12.75" x14ac:dyDescent="0.2">
      <c r="A1568" s="693">
        <v>1564</v>
      </c>
      <c r="B1568" s="745" t="str">
        <f t="shared" si="25"/>
        <v>Indian Rupee</v>
      </c>
      <c r="C1568" s="694" t="s">
        <v>3806</v>
      </c>
      <c r="D1568" s="1046"/>
      <c r="E1568" s="1046"/>
      <c r="F1568" s="1046"/>
      <c r="G1568" s="1046"/>
      <c r="H1568" s="1046"/>
      <c r="I1568" s="1046"/>
      <c r="J1568" s="1046"/>
      <c r="K1568" s="1046"/>
      <c r="L1568" s="1046"/>
      <c r="M1568" s="1046"/>
    </row>
    <row r="1569" spans="1:13" ht="12.75" x14ac:dyDescent="0.2">
      <c r="A1569" s="693">
        <v>1565</v>
      </c>
      <c r="B1569" s="745" t="str">
        <f t="shared" si="25"/>
        <v>Egypt</v>
      </c>
      <c r="C1569" s="694" t="s">
        <v>3807</v>
      </c>
      <c r="D1569" s="1046"/>
      <c r="E1569" s="1046"/>
      <c r="F1569" s="1046"/>
      <c r="G1569" s="1046"/>
      <c r="H1569" s="1046"/>
      <c r="I1569" s="1046"/>
      <c r="J1569" s="1046"/>
      <c r="K1569" s="1046"/>
      <c r="L1569" s="1046"/>
      <c r="M1569" s="1046"/>
    </row>
    <row r="1570" spans="1:13" ht="12.75" x14ac:dyDescent="0.2">
      <c r="A1570" s="693">
        <v>1566</v>
      </c>
      <c r="B1570" s="745" t="str">
        <f t="shared" si="25"/>
        <v>Iraqi Dinar</v>
      </c>
      <c r="C1570" s="694" t="s">
        <v>3808</v>
      </c>
      <c r="D1570" s="1046"/>
      <c r="E1570" s="1046"/>
      <c r="F1570" s="1046"/>
      <c r="G1570" s="1046"/>
      <c r="H1570" s="1046"/>
      <c r="I1570" s="1046"/>
      <c r="J1570" s="1046"/>
      <c r="K1570" s="1046"/>
      <c r="L1570" s="1046"/>
      <c r="M1570" s="1046"/>
    </row>
    <row r="1571" spans="1:13" ht="12.75" x14ac:dyDescent="0.2">
      <c r="A1571" s="693">
        <v>1567</v>
      </c>
      <c r="B1571" s="745" t="str">
        <f t="shared" si="25"/>
        <v>Western Sahara</v>
      </c>
      <c r="C1571" s="694" t="s">
        <v>3809</v>
      </c>
      <c r="D1571" s="1046"/>
      <c r="E1571" s="1046"/>
      <c r="F1571" s="1046"/>
      <c r="G1571" s="1046"/>
      <c r="H1571" s="1046"/>
      <c r="I1571" s="1046"/>
      <c r="J1571" s="1046"/>
      <c r="K1571" s="1046"/>
      <c r="L1571" s="1046"/>
      <c r="M1571" s="1046"/>
    </row>
    <row r="1572" spans="1:13" ht="12.75" x14ac:dyDescent="0.2">
      <c r="A1572" s="693">
        <v>1568</v>
      </c>
      <c r="B1572" s="745" t="str">
        <f t="shared" si="25"/>
        <v>Iranian Rial</v>
      </c>
      <c r="C1572" s="694" t="s">
        <v>3810</v>
      </c>
      <c r="D1572" s="1046"/>
      <c r="E1572" s="1046"/>
      <c r="F1572" s="1046"/>
      <c r="G1572" s="1046"/>
      <c r="H1572" s="1046"/>
      <c r="I1572" s="1046"/>
      <c r="J1572" s="1046"/>
      <c r="K1572" s="1046"/>
      <c r="L1572" s="1046"/>
      <c r="M1572" s="1046"/>
    </row>
    <row r="1573" spans="1:13" ht="12.75" x14ac:dyDescent="0.2">
      <c r="A1573" s="693">
        <v>1569</v>
      </c>
      <c r="B1573" s="745" t="str">
        <f t="shared" si="25"/>
        <v>Eritrea</v>
      </c>
      <c r="C1573" s="694" t="s">
        <v>3811</v>
      </c>
      <c r="D1573" s="1046"/>
      <c r="E1573" s="1046"/>
      <c r="F1573" s="1046"/>
      <c r="G1573" s="1046"/>
      <c r="H1573" s="1046"/>
      <c r="I1573" s="1046"/>
      <c r="J1573" s="1046"/>
      <c r="K1573" s="1046"/>
      <c r="L1573" s="1046"/>
      <c r="M1573" s="1046"/>
    </row>
    <row r="1574" spans="1:13" ht="12.75" x14ac:dyDescent="0.2">
      <c r="A1574" s="693">
        <v>1570</v>
      </c>
      <c r="B1574" s="745" t="str">
        <f t="shared" si="25"/>
        <v>Iceland Krona</v>
      </c>
      <c r="C1574" s="694" t="s">
        <v>3812</v>
      </c>
      <c r="D1574" s="1046"/>
      <c r="E1574" s="1046"/>
      <c r="F1574" s="1046"/>
      <c r="G1574" s="1046"/>
      <c r="H1574" s="1046"/>
      <c r="I1574" s="1046"/>
      <c r="J1574" s="1046"/>
      <c r="K1574" s="1046"/>
      <c r="L1574" s="1046"/>
      <c r="M1574" s="1046"/>
    </row>
    <row r="1575" spans="1:13" ht="12.75" x14ac:dyDescent="0.2">
      <c r="A1575" s="693">
        <v>1571</v>
      </c>
      <c r="B1575" s="745" t="str">
        <f t="shared" si="25"/>
        <v>Jamaican Dollar</v>
      </c>
      <c r="C1575" s="694" t="s">
        <v>3813</v>
      </c>
      <c r="D1575" s="1046"/>
      <c r="E1575" s="1046"/>
      <c r="F1575" s="1046"/>
      <c r="G1575" s="1046"/>
      <c r="H1575" s="1046"/>
      <c r="I1575" s="1046"/>
      <c r="J1575" s="1046"/>
      <c r="K1575" s="1046"/>
      <c r="L1575" s="1046"/>
      <c r="M1575" s="1046"/>
    </row>
    <row r="1576" spans="1:13" ht="12.75" x14ac:dyDescent="0.2">
      <c r="A1576" s="693">
        <v>1572</v>
      </c>
      <c r="B1576" s="745" t="str">
        <f t="shared" si="25"/>
        <v>Ethiopia</v>
      </c>
      <c r="C1576" s="694" t="s">
        <v>3814</v>
      </c>
      <c r="D1576" s="1046"/>
      <c r="E1576" s="1046"/>
      <c r="F1576" s="1046"/>
      <c r="G1576" s="1046"/>
      <c r="H1576" s="1046"/>
      <c r="I1576" s="1046"/>
      <c r="J1576" s="1046"/>
      <c r="K1576" s="1046"/>
      <c r="L1576" s="1046"/>
      <c r="M1576" s="1046"/>
    </row>
    <row r="1577" spans="1:13" ht="12.75" x14ac:dyDescent="0.2">
      <c r="A1577" s="693">
        <v>1573</v>
      </c>
      <c r="B1577" s="745" t="str">
        <f t="shared" si="25"/>
        <v>Jordanian Dinar</v>
      </c>
      <c r="C1577" s="694" t="s">
        <v>3815</v>
      </c>
      <c r="D1577" s="1046"/>
      <c r="E1577" s="1046"/>
      <c r="F1577" s="1046"/>
      <c r="G1577" s="1046"/>
      <c r="H1577" s="1046"/>
      <c r="I1577" s="1046"/>
      <c r="J1577" s="1046"/>
      <c r="K1577" s="1046"/>
      <c r="L1577" s="1046"/>
      <c r="M1577" s="1046"/>
    </row>
    <row r="1578" spans="1:13" ht="12.75" x14ac:dyDescent="0.2">
      <c r="A1578" s="693">
        <v>1574</v>
      </c>
      <c r="B1578" s="745" t="str">
        <f t="shared" si="25"/>
        <v>European Community</v>
      </c>
      <c r="C1578" s="694" t="s">
        <v>3816</v>
      </c>
      <c r="D1578" s="1046"/>
      <c r="E1578" s="1046"/>
      <c r="F1578" s="1046"/>
      <c r="G1578" s="1046"/>
      <c r="H1578" s="1046"/>
      <c r="I1578" s="1046"/>
      <c r="J1578" s="1046"/>
      <c r="K1578" s="1046"/>
      <c r="L1578" s="1046"/>
      <c r="M1578" s="1046"/>
    </row>
    <row r="1579" spans="1:13" ht="12.75" x14ac:dyDescent="0.2">
      <c r="A1579" s="693">
        <v>1575</v>
      </c>
      <c r="B1579" s="745" t="str">
        <f t="shared" si="25"/>
        <v>Yen</v>
      </c>
      <c r="C1579" s="694" t="s">
        <v>3817</v>
      </c>
      <c r="D1579" s="1046"/>
      <c r="E1579" s="1046"/>
      <c r="F1579" s="1046"/>
      <c r="G1579" s="1046"/>
      <c r="H1579" s="1046"/>
      <c r="I1579" s="1046"/>
      <c r="J1579" s="1046"/>
      <c r="K1579" s="1046"/>
      <c r="L1579" s="1046"/>
      <c r="M1579" s="1046"/>
    </row>
    <row r="1580" spans="1:13" ht="12.75" x14ac:dyDescent="0.2">
      <c r="A1580" s="693">
        <v>1576</v>
      </c>
      <c r="B1580" s="745" t="str">
        <f t="shared" si="25"/>
        <v>Kenyan Shilling</v>
      </c>
      <c r="C1580" s="694" t="s">
        <v>3818</v>
      </c>
      <c r="D1580" s="1046"/>
      <c r="E1580" s="1046"/>
      <c r="F1580" s="1046"/>
      <c r="G1580" s="1046"/>
      <c r="H1580" s="1046"/>
      <c r="I1580" s="1046"/>
      <c r="J1580" s="1046"/>
      <c r="K1580" s="1046"/>
      <c r="L1580" s="1046"/>
      <c r="M1580" s="1046"/>
    </row>
    <row r="1581" spans="1:13" ht="12.75" x14ac:dyDescent="0.2">
      <c r="A1581" s="693">
        <v>1577</v>
      </c>
      <c r="B1581" s="745" t="str">
        <f t="shared" si="25"/>
        <v>Fiji</v>
      </c>
      <c r="C1581" s="694" t="s">
        <v>3819</v>
      </c>
      <c r="D1581" s="1046"/>
      <c r="E1581" s="1046"/>
      <c r="F1581" s="1046"/>
      <c r="G1581" s="1046"/>
      <c r="H1581" s="1046"/>
      <c r="I1581" s="1046"/>
      <c r="J1581" s="1046"/>
      <c r="K1581" s="1046"/>
      <c r="L1581" s="1046"/>
      <c r="M1581" s="1046"/>
    </row>
    <row r="1582" spans="1:13" ht="12.75" x14ac:dyDescent="0.2">
      <c r="A1582" s="693">
        <v>1578</v>
      </c>
      <c r="B1582" s="745" t="str">
        <f t="shared" si="25"/>
        <v>Som</v>
      </c>
      <c r="C1582" s="694" t="s">
        <v>3820</v>
      </c>
      <c r="D1582" s="1046"/>
      <c r="E1582" s="1046"/>
      <c r="F1582" s="1046"/>
      <c r="G1582" s="1046"/>
      <c r="H1582" s="1046"/>
      <c r="I1582" s="1046"/>
      <c r="J1582" s="1046"/>
      <c r="K1582" s="1046"/>
      <c r="L1582" s="1046"/>
      <c r="M1582" s="1046"/>
    </row>
    <row r="1583" spans="1:13" ht="12.75" x14ac:dyDescent="0.2">
      <c r="A1583" s="693">
        <v>1579</v>
      </c>
      <c r="B1583" s="745" t="str">
        <f t="shared" si="25"/>
        <v>Falkland Islands</v>
      </c>
      <c r="C1583" s="694" t="s">
        <v>3821</v>
      </c>
      <c r="D1583" s="1046"/>
      <c r="E1583" s="1046"/>
      <c r="F1583" s="1046"/>
      <c r="G1583" s="1046"/>
      <c r="H1583" s="1046"/>
      <c r="I1583" s="1046"/>
      <c r="J1583" s="1046"/>
      <c r="K1583" s="1046"/>
      <c r="L1583" s="1046"/>
      <c r="M1583" s="1046"/>
    </row>
    <row r="1584" spans="1:13" ht="12.75" x14ac:dyDescent="0.2">
      <c r="A1584" s="693">
        <v>1580</v>
      </c>
      <c r="B1584" s="745" t="str">
        <f t="shared" si="25"/>
        <v>Riel</v>
      </c>
      <c r="C1584" s="694" t="s">
        <v>3822</v>
      </c>
      <c r="D1584" s="1046"/>
      <c r="E1584" s="1046"/>
      <c r="F1584" s="1046"/>
      <c r="G1584" s="1046"/>
      <c r="H1584" s="1046"/>
      <c r="I1584" s="1046"/>
      <c r="J1584" s="1046"/>
      <c r="K1584" s="1046"/>
      <c r="L1584" s="1046"/>
      <c r="M1584" s="1046"/>
    </row>
    <row r="1585" spans="1:13" ht="12.75" x14ac:dyDescent="0.2">
      <c r="A1585" s="693">
        <v>1581</v>
      </c>
      <c r="B1585" s="745" t="str">
        <f t="shared" si="25"/>
        <v>Micronesia, Federated States of</v>
      </c>
      <c r="C1585" s="694" t="s">
        <v>3823</v>
      </c>
      <c r="D1585" s="1046"/>
      <c r="E1585" s="1046"/>
      <c r="F1585" s="1046"/>
      <c r="G1585" s="1046"/>
      <c r="H1585" s="1046"/>
      <c r="I1585" s="1046"/>
      <c r="J1585" s="1046"/>
      <c r="K1585" s="1046"/>
      <c r="L1585" s="1046"/>
      <c r="M1585" s="1046"/>
    </row>
    <row r="1586" spans="1:13" ht="12.75" x14ac:dyDescent="0.2">
      <c r="A1586" s="693">
        <v>1582</v>
      </c>
      <c r="B1586" s="745" t="str">
        <f t="shared" si="25"/>
        <v>Comorian Franc</v>
      </c>
      <c r="C1586" s="694" t="s">
        <v>3824</v>
      </c>
      <c r="D1586" s="1046"/>
      <c r="E1586" s="1046"/>
      <c r="F1586" s="1046"/>
      <c r="G1586" s="1046"/>
      <c r="H1586" s="1046"/>
      <c r="I1586" s="1046"/>
      <c r="J1586" s="1046"/>
      <c r="K1586" s="1046"/>
      <c r="L1586" s="1046"/>
      <c r="M1586" s="1046"/>
    </row>
    <row r="1587" spans="1:13" ht="12.75" x14ac:dyDescent="0.2">
      <c r="A1587" s="693">
        <v>1583</v>
      </c>
      <c r="B1587" s="745" t="str">
        <f t="shared" si="25"/>
        <v>Faroe Islands</v>
      </c>
      <c r="C1587" s="694" t="s">
        <v>3825</v>
      </c>
      <c r="D1587" s="1046"/>
      <c r="E1587" s="1046"/>
      <c r="F1587" s="1046"/>
      <c r="G1587" s="1046"/>
      <c r="H1587" s="1046"/>
      <c r="I1587" s="1046"/>
      <c r="J1587" s="1046"/>
      <c r="K1587" s="1046"/>
      <c r="L1587" s="1046"/>
      <c r="M1587" s="1046"/>
    </row>
    <row r="1588" spans="1:13" ht="12.75" x14ac:dyDescent="0.2">
      <c r="A1588" s="693">
        <v>1584</v>
      </c>
      <c r="B1588" s="745" t="str">
        <f t="shared" si="25"/>
        <v>North Korean Won</v>
      </c>
      <c r="C1588" s="694" t="s">
        <v>3826</v>
      </c>
      <c r="D1588" s="1046"/>
      <c r="E1588" s="1046"/>
      <c r="F1588" s="1046"/>
      <c r="G1588" s="1046"/>
      <c r="H1588" s="1046"/>
      <c r="I1588" s="1046"/>
      <c r="J1588" s="1046"/>
      <c r="K1588" s="1046"/>
      <c r="L1588" s="1046"/>
      <c r="M1588" s="1046"/>
    </row>
    <row r="1589" spans="1:13" ht="12.75" x14ac:dyDescent="0.2">
      <c r="A1589" s="693">
        <v>1585</v>
      </c>
      <c r="B1589" s="745" t="str">
        <f t="shared" si="25"/>
        <v>Won</v>
      </c>
      <c r="C1589" s="694" t="s">
        <v>3827</v>
      </c>
      <c r="D1589" s="1046"/>
      <c r="E1589" s="1046"/>
      <c r="F1589" s="1046"/>
      <c r="G1589" s="1046"/>
      <c r="H1589" s="1046"/>
      <c r="I1589" s="1046"/>
      <c r="J1589" s="1046"/>
      <c r="K1589" s="1046"/>
      <c r="L1589" s="1046"/>
      <c r="M1589" s="1046"/>
    </row>
    <row r="1590" spans="1:13" ht="12.75" x14ac:dyDescent="0.2">
      <c r="A1590" s="693">
        <v>1586</v>
      </c>
      <c r="B1590" s="745" t="str">
        <f t="shared" si="25"/>
        <v>Gabon</v>
      </c>
      <c r="C1590" s="694" t="s">
        <v>3828</v>
      </c>
      <c r="D1590" s="1046"/>
      <c r="E1590" s="1046"/>
      <c r="F1590" s="1046"/>
      <c r="G1590" s="1046"/>
      <c r="H1590" s="1046"/>
      <c r="I1590" s="1046"/>
      <c r="J1590" s="1046"/>
      <c r="K1590" s="1046"/>
      <c r="L1590" s="1046"/>
      <c r="M1590" s="1046"/>
    </row>
    <row r="1591" spans="1:13" ht="12.75" x14ac:dyDescent="0.2">
      <c r="A1591" s="693">
        <v>1587</v>
      </c>
      <c r="B1591" s="745" t="str">
        <f t="shared" si="25"/>
        <v>Kuwaiti Dinar</v>
      </c>
      <c r="C1591" s="694" t="s">
        <v>3829</v>
      </c>
      <c r="D1591" s="1046"/>
      <c r="E1591" s="1046"/>
      <c r="F1591" s="1046"/>
      <c r="G1591" s="1046"/>
      <c r="H1591" s="1046"/>
      <c r="I1591" s="1046"/>
      <c r="J1591" s="1046"/>
      <c r="K1591" s="1046"/>
      <c r="L1591" s="1046"/>
      <c r="M1591" s="1046"/>
    </row>
    <row r="1592" spans="1:13" ht="12.75" x14ac:dyDescent="0.2">
      <c r="A1592" s="693">
        <v>1588</v>
      </c>
      <c r="B1592" s="745" t="str">
        <f t="shared" si="25"/>
        <v>Cayman Islands Dollar</v>
      </c>
      <c r="C1592" s="694" t="s">
        <v>3830</v>
      </c>
      <c r="D1592" s="1046"/>
      <c r="E1592" s="1046"/>
      <c r="F1592" s="1046"/>
      <c r="G1592" s="1046"/>
      <c r="H1592" s="1046"/>
      <c r="I1592" s="1046"/>
      <c r="J1592" s="1046"/>
      <c r="K1592" s="1046"/>
      <c r="L1592" s="1046"/>
      <c r="M1592" s="1046"/>
    </row>
    <row r="1593" spans="1:13" ht="12.75" x14ac:dyDescent="0.2">
      <c r="A1593" s="693">
        <v>1589</v>
      </c>
      <c r="B1593" s="745" t="str">
        <f t="shared" si="25"/>
        <v>Grenada</v>
      </c>
      <c r="C1593" s="694" t="s">
        <v>3831</v>
      </c>
      <c r="D1593" s="1046"/>
      <c r="E1593" s="1046"/>
      <c r="F1593" s="1046"/>
      <c r="G1593" s="1046"/>
      <c r="H1593" s="1046"/>
      <c r="I1593" s="1046"/>
      <c r="J1593" s="1046"/>
      <c r="K1593" s="1046"/>
      <c r="L1593" s="1046"/>
      <c r="M1593" s="1046"/>
    </row>
    <row r="1594" spans="1:13" ht="12.75" x14ac:dyDescent="0.2">
      <c r="A1594" s="693">
        <v>1590</v>
      </c>
      <c r="B1594" s="745" t="str">
        <f t="shared" si="25"/>
        <v>Tenge</v>
      </c>
      <c r="C1594" s="694" t="s">
        <v>3832</v>
      </c>
      <c r="D1594" s="1046"/>
      <c r="E1594" s="1046"/>
      <c r="F1594" s="1046"/>
      <c r="G1594" s="1046"/>
      <c r="H1594" s="1046"/>
      <c r="I1594" s="1046"/>
      <c r="J1594" s="1046"/>
      <c r="K1594" s="1046"/>
      <c r="L1594" s="1046"/>
      <c r="M1594" s="1046"/>
    </row>
    <row r="1595" spans="1:13" ht="12.75" x14ac:dyDescent="0.2">
      <c r="A1595" s="693">
        <v>1591</v>
      </c>
      <c r="B1595" s="745" t="str">
        <f t="shared" si="25"/>
        <v>Georgia</v>
      </c>
      <c r="C1595" s="694" t="s">
        <v>3833</v>
      </c>
      <c r="D1595" s="1046"/>
      <c r="E1595" s="1046"/>
      <c r="F1595" s="1046"/>
      <c r="G1595" s="1046"/>
      <c r="H1595" s="1046"/>
      <c r="I1595" s="1046"/>
      <c r="J1595" s="1046"/>
      <c r="K1595" s="1046"/>
      <c r="L1595" s="1046"/>
      <c r="M1595" s="1046"/>
    </row>
    <row r="1596" spans="1:13" ht="12.75" x14ac:dyDescent="0.2">
      <c r="A1596" s="693">
        <v>1592</v>
      </c>
      <c r="B1596" s="745" t="str">
        <f t="shared" si="25"/>
        <v>Lao Kip</v>
      </c>
      <c r="C1596" s="694" t="s">
        <v>3834</v>
      </c>
      <c r="D1596" s="1046"/>
      <c r="E1596" s="1046"/>
      <c r="F1596" s="1046"/>
      <c r="G1596" s="1046"/>
      <c r="H1596" s="1046"/>
      <c r="I1596" s="1046"/>
      <c r="J1596" s="1046"/>
      <c r="K1596" s="1046"/>
      <c r="L1596" s="1046"/>
      <c r="M1596" s="1046"/>
    </row>
    <row r="1597" spans="1:13" ht="12.75" x14ac:dyDescent="0.2">
      <c r="A1597" s="693">
        <v>1593</v>
      </c>
      <c r="B1597" s="745" t="str">
        <f t="shared" si="25"/>
        <v>French Guyana</v>
      </c>
      <c r="C1597" s="694" t="s">
        <v>3835</v>
      </c>
      <c r="D1597" s="1046"/>
      <c r="E1597" s="1046"/>
      <c r="F1597" s="1046"/>
      <c r="G1597" s="1046"/>
      <c r="H1597" s="1046"/>
      <c r="I1597" s="1046"/>
      <c r="J1597" s="1046"/>
      <c r="K1597" s="1046"/>
      <c r="L1597" s="1046"/>
      <c r="M1597" s="1046"/>
    </row>
    <row r="1598" spans="1:13" ht="12.75" x14ac:dyDescent="0.2">
      <c r="A1598" s="693">
        <v>1594</v>
      </c>
      <c r="B1598" s="745" t="str">
        <f t="shared" si="25"/>
        <v>Lebanese Pound</v>
      </c>
      <c r="C1598" s="694" t="s">
        <v>3836</v>
      </c>
      <c r="D1598" s="1046"/>
      <c r="E1598" s="1046"/>
      <c r="F1598" s="1046"/>
      <c r="G1598" s="1046"/>
      <c r="H1598" s="1046"/>
      <c r="I1598" s="1046"/>
      <c r="J1598" s="1046"/>
      <c r="K1598" s="1046"/>
      <c r="L1598" s="1046"/>
      <c r="M1598" s="1046"/>
    </row>
    <row r="1599" spans="1:13" ht="12.75" x14ac:dyDescent="0.2">
      <c r="A1599" s="693">
        <v>1595</v>
      </c>
      <c r="B1599" s="745" t="str">
        <f t="shared" si="25"/>
        <v>Guernsey</v>
      </c>
      <c r="C1599" s="694" t="s">
        <v>3837</v>
      </c>
      <c r="D1599" s="1046"/>
      <c r="E1599" s="1046"/>
      <c r="F1599" s="1046"/>
      <c r="G1599" s="1046"/>
      <c r="H1599" s="1046"/>
      <c r="I1599" s="1046"/>
      <c r="J1599" s="1046"/>
      <c r="K1599" s="1046"/>
      <c r="L1599" s="1046"/>
      <c r="M1599" s="1046"/>
    </row>
    <row r="1600" spans="1:13" ht="12.75" x14ac:dyDescent="0.2">
      <c r="A1600" s="693">
        <v>1596</v>
      </c>
      <c r="B1600" s="745" t="str">
        <f t="shared" si="25"/>
        <v>Sri Lanka Rupee</v>
      </c>
      <c r="C1600" s="694" t="s">
        <v>3838</v>
      </c>
      <c r="D1600" s="1046"/>
      <c r="E1600" s="1046"/>
      <c r="F1600" s="1046"/>
      <c r="G1600" s="1046"/>
      <c r="H1600" s="1046"/>
      <c r="I1600" s="1046"/>
      <c r="J1600" s="1046"/>
      <c r="K1600" s="1046"/>
      <c r="L1600" s="1046"/>
      <c r="M1600" s="1046"/>
    </row>
    <row r="1601" spans="1:13" ht="12.75" x14ac:dyDescent="0.2">
      <c r="A1601" s="693">
        <v>1597</v>
      </c>
      <c r="B1601" s="745" t="str">
        <f t="shared" si="25"/>
        <v>Ghana</v>
      </c>
      <c r="C1601" s="694" t="s">
        <v>3839</v>
      </c>
      <c r="D1601" s="1046"/>
      <c r="E1601" s="1046"/>
      <c r="F1601" s="1046"/>
      <c r="G1601" s="1046"/>
      <c r="H1601" s="1046"/>
      <c r="I1601" s="1046"/>
      <c r="J1601" s="1046"/>
      <c r="K1601" s="1046"/>
      <c r="L1601" s="1046"/>
      <c r="M1601" s="1046"/>
    </row>
    <row r="1602" spans="1:13" ht="12.75" x14ac:dyDescent="0.2">
      <c r="A1602" s="693">
        <v>1598</v>
      </c>
      <c r="B1602" s="745" t="str">
        <f t="shared" si="25"/>
        <v>Liberian Dollar</v>
      </c>
      <c r="C1602" s="694" t="s">
        <v>3840</v>
      </c>
      <c r="D1602" s="1046"/>
      <c r="E1602" s="1046"/>
      <c r="F1602" s="1046"/>
      <c r="G1602" s="1046"/>
      <c r="H1602" s="1046"/>
      <c r="I1602" s="1046"/>
      <c r="J1602" s="1046"/>
      <c r="K1602" s="1046"/>
      <c r="L1602" s="1046"/>
      <c r="M1602" s="1046"/>
    </row>
    <row r="1603" spans="1:13" ht="12.75" x14ac:dyDescent="0.2">
      <c r="A1603" s="693">
        <v>1599</v>
      </c>
      <c r="B1603" s="745" t="str">
        <f t="shared" si="25"/>
        <v>Gibraltar</v>
      </c>
      <c r="C1603" s="694" t="s">
        <v>3841</v>
      </c>
      <c r="D1603" s="1046"/>
      <c r="E1603" s="1046"/>
      <c r="F1603" s="1046"/>
      <c r="G1603" s="1046"/>
      <c r="H1603" s="1046"/>
      <c r="I1603" s="1046"/>
      <c r="J1603" s="1046"/>
      <c r="K1603" s="1046"/>
      <c r="L1603" s="1046"/>
      <c r="M1603" s="1046"/>
    </row>
    <row r="1604" spans="1:13" ht="12.75" x14ac:dyDescent="0.2">
      <c r="A1604" s="693">
        <v>1600</v>
      </c>
      <c r="B1604" s="745" t="str">
        <f t="shared" si="25"/>
        <v>Loti</v>
      </c>
      <c r="C1604" s="694" t="s">
        <v>3842</v>
      </c>
      <c r="D1604" s="1046"/>
      <c r="E1604" s="1046"/>
      <c r="F1604" s="1046"/>
      <c r="G1604" s="1046"/>
      <c r="H1604" s="1046"/>
      <c r="I1604" s="1046"/>
      <c r="J1604" s="1046"/>
      <c r="K1604" s="1046"/>
      <c r="L1604" s="1046"/>
      <c r="M1604" s="1046"/>
    </row>
    <row r="1605" spans="1:13" ht="12.75" x14ac:dyDescent="0.2">
      <c r="A1605" s="693">
        <v>1601</v>
      </c>
      <c r="B1605" s="745" t="str">
        <f t="shared" si="25"/>
        <v>Greenland</v>
      </c>
      <c r="C1605" s="694" t="s">
        <v>3843</v>
      </c>
      <c r="D1605" s="1046"/>
      <c r="E1605" s="1046"/>
      <c r="F1605" s="1046"/>
      <c r="G1605" s="1046"/>
      <c r="H1605" s="1046"/>
      <c r="I1605" s="1046"/>
      <c r="J1605" s="1046"/>
      <c r="K1605" s="1046"/>
      <c r="L1605" s="1046"/>
      <c r="M1605" s="1046"/>
    </row>
    <row r="1606" spans="1:13" ht="12.75" x14ac:dyDescent="0.2">
      <c r="A1606" s="693">
        <v>1602</v>
      </c>
      <c r="B1606" s="745" t="str">
        <f t="shared" si="25"/>
        <v>Libyan Dinar</v>
      </c>
      <c r="C1606" s="694" t="s">
        <v>3844</v>
      </c>
      <c r="D1606" s="1046"/>
      <c r="E1606" s="1046"/>
      <c r="F1606" s="1046"/>
      <c r="G1606" s="1046"/>
      <c r="H1606" s="1046"/>
      <c r="I1606" s="1046"/>
      <c r="J1606" s="1046"/>
      <c r="K1606" s="1046"/>
      <c r="L1606" s="1046"/>
      <c r="M1606" s="1046"/>
    </row>
    <row r="1607" spans="1:13" ht="12.75" x14ac:dyDescent="0.2">
      <c r="A1607" s="693">
        <v>1603</v>
      </c>
      <c r="B1607" s="745" t="str">
        <f t="shared" si="25"/>
        <v>Gambia</v>
      </c>
      <c r="C1607" s="694" t="s">
        <v>3845</v>
      </c>
      <c r="D1607" s="1046"/>
      <c r="E1607" s="1046"/>
      <c r="F1607" s="1046"/>
      <c r="G1607" s="1046"/>
      <c r="H1607" s="1046"/>
      <c r="I1607" s="1046"/>
      <c r="J1607" s="1046"/>
      <c r="K1607" s="1046"/>
      <c r="L1607" s="1046"/>
      <c r="M1607" s="1046"/>
    </row>
    <row r="1608" spans="1:13" ht="12.75" x14ac:dyDescent="0.2">
      <c r="A1608" s="693">
        <v>1604</v>
      </c>
      <c r="B1608" s="745" t="str">
        <f t="shared" si="25"/>
        <v>Moroccan Dirham</v>
      </c>
      <c r="C1608" s="694" t="s">
        <v>3846</v>
      </c>
      <c r="D1608" s="1046"/>
      <c r="E1608" s="1046"/>
      <c r="F1608" s="1046"/>
      <c r="G1608" s="1046"/>
      <c r="H1608" s="1046"/>
      <c r="I1608" s="1046"/>
      <c r="J1608" s="1046"/>
      <c r="K1608" s="1046"/>
      <c r="L1608" s="1046"/>
      <c r="M1608" s="1046"/>
    </row>
    <row r="1609" spans="1:13" ht="12.75" x14ac:dyDescent="0.2">
      <c r="A1609" s="693">
        <v>1605</v>
      </c>
      <c r="B1609" s="745" t="str">
        <f t="shared" si="25"/>
        <v>Guinea</v>
      </c>
      <c r="C1609" s="694" t="s">
        <v>3847</v>
      </c>
      <c r="D1609" s="1046"/>
      <c r="E1609" s="1046"/>
      <c r="F1609" s="1046"/>
      <c r="G1609" s="1046"/>
      <c r="H1609" s="1046"/>
      <c r="I1609" s="1046"/>
      <c r="J1609" s="1046"/>
      <c r="K1609" s="1046"/>
      <c r="L1609" s="1046"/>
      <c r="M1609" s="1046"/>
    </row>
    <row r="1610" spans="1:13" ht="12.75" x14ac:dyDescent="0.2">
      <c r="A1610" s="693">
        <v>1606</v>
      </c>
      <c r="B1610" s="745" t="str">
        <f t="shared" si="25"/>
        <v>Moldovan Leu</v>
      </c>
      <c r="C1610" s="694" t="s">
        <v>3848</v>
      </c>
      <c r="D1610" s="1046"/>
      <c r="E1610" s="1046"/>
      <c r="F1610" s="1046"/>
      <c r="G1610" s="1046"/>
      <c r="H1610" s="1046"/>
      <c r="I1610" s="1046"/>
      <c r="J1610" s="1046"/>
      <c r="K1610" s="1046"/>
      <c r="L1610" s="1046"/>
      <c r="M1610" s="1046"/>
    </row>
    <row r="1611" spans="1:13" ht="12.75" x14ac:dyDescent="0.2">
      <c r="A1611" s="693">
        <v>1607</v>
      </c>
      <c r="B1611" s="745" t="str">
        <f t="shared" ref="B1611:B1674" si="26">IFERROR(INDEX(C1611:M1611,$A$4-2),$C1611)</f>
        <v>Guadeloupe</v>
      </c>
      <c r="C1611" s="694" t="s">
        <v>3849</v>
      </c>
      <c r="D1611" s="1046"/>
      <c r="E1611" s="1046"/>
      <c r="F1611" s="1046"/>
      <c r="G1611" s="1046"/>
      <c r="H1611" s="1046"/>
      <c r="I1611" s="1046"/>
      <c r="J1611" s="1046"/>
      <c r="K1611" s="1046"/>
      <c r="L1611" s="1046"/>
      <c r="M1611" s="1046"/>
    </row>
    <row r="1612" spans="1:13" ht="12.75" x14ac:dyDescent="0.2">
      <c r="A1612" s="693">
        <v>1608</v>
      </c>
      <c r="B1612" s="745" t="str">
        <f t="shared" si="26"/>
        <v>Malagasy Ariary</v>
      </c>
      <c r="C1612" s="694" t="s">
        <v>3850</v>
      </c>
      <c r="D1612" s="1046"/>
      <c r="E1612" s="1046"/>
      <c r="F1612" s="1046"/>
      <c r="G1612" s="1046"/>
      <c r="H1612" s="1046"/>
      <c r="I1612" s="1046"/>
      <c r="J1612" s="1046"/>
      <c r="K1612" s="1046"/>
      <c r="L1612" s="1046"/>
      <c r="M1612" s="1046"/>
    </row>
    <row r="1613" spans="1:13" ht="12.75" x14ac:dyDescent="0.2">
      <c r="A1613" s="693">
        <v>1609</v>
      </c>
      <c r="B1613" s="745" t="str">
        <f t="shared" si="26"/>
        <v>Equatorial Guinea</v>
      </c>
      <c r="C1613" s="694" t="s">
        <v>3851</v>
      </c>
      <c r="D1613" s="1046"/>
      <c r="E1613" s="1046"/>
      <c r="F1613" s="1046"/>
      <c r="G1613" s="1046"/>
      <c r="H1613" s="1046"/>
      <c r="I1613" s="1046"/>
      <c r="J1613" s="1046"/>
      <c r="K1613" s="1046"/>
      <c r="L1613" s="1046"/>
      <c r="M1613" s="1046"/>
    </row>
    <row r="1614" spans="1:13" ht="12.75" x14ac:dyDescent="0.2">
      <c r="A1614" s="693">
        <v>1610</v>
      </c>
      <c r="B1614" s="745" t="str">
        <f t="shared" si="26"/>
        <v>Denar</v>
      </c>
      <c r="C1614" s="694" t="s">
        <v>3852</v>
      </c>
      <c r="D1614" s="1046"/>
      <c r="E1614" s="1046"/>
      <c r="F1614" s="1046"/>
      <c r="G1614" s="1046"/>
      <c r="H1614" s="1046"/>
      <c r="I1614" s="1046"/>
      <c r="J1614" s="1046"/>
      <c r="K1614" s="1046"/>
      <c r="L1614" s="1046"/>
      <c r="M1614" s="1046"/>
    </row>
    <row r="1615" spans="1:13" ht="12.75" x14ac:dyDescent="0.2">
      <c r="A1615" s="693">
        <v>1611</v>
      </c>
      <c r="B1615" s="745" t="str">
        <f t="shared" si="26"/>
        <v>Kyat</v>
      </c>
      <c r="C1615" s="694" t="s">
        <v>3853</v>
      </c>
      <c r="D1615" s="1046"/>
      <c r="E1615" s="1046"/>
      <c r="F1615" s="1046"/>
      <c r="G1615" s="1046"/>
      <c r="H1615" s="1046"/>
      <c r="I1615" s="1046"/>
      <c r="J1615" s="1046"/>
      <c r="K1615" s="1046"/>
      <c r="L1615" s="1046"/>
      <c r="M1615" s="1046"/>
    </row>
    <row r="1616" spans="1:13" ht="12.75" x14ac:dyDescent="0.2">
      <c r="A1616" s="693">
        <v>1612</v>
      </c>
      <c r="B1616" s="745" t="str">
        <f t="shared" si="26"/>
        <v>South Georgia and South Sandwich</v>
      </c>
      <c r="C1616" s="694" t="s">
        <v>3854</v>
      </c>
      <c r="D1616" s="1046"/>
      <c r="E1616" s="1046"/>
      <c r="F1616" s="1046"/>
      <c r="G1616" s="1046"/>
      <c r="H1616" s="1046"/>
      <c r="I1616" s="1046"/>
      <c r="J1616" s="1046"/>
      <c r="K1616" s="1046"/>
      <c r="L1616" s="1046"/>
      <c r="M1616" s="1046"/>
    </row>
    <row r="1617" spans="1:13" ht="12.75" x14ac:dyDescent="0.2">
      <c r="A1617" s="693">
        <v>1613</v>
      </c>
      <c r="B1617" s="745" t="str">
        <f t="shared" si="26"/>
        <v>Tugrik</v>
      </c>
      <c r="C1617" s="694" t="s">
        <v>3855</v>
      </c>
      <c r="D1617" s="1046"/>
      <c r="E1617" s="1046"/>
      <c r="F1617" s="1046"/>
      <c r="G1617" s="1046"/>
      <c r="H1617" s="1046"/>
      <c r="I1617" s="1046"/>
      <c r="J1617" s="1046"/>
      <c r="K1617" s="1046"/>
      <c r="L1617" s="1046"/>
      <c r="M1617" s="1046"/>
    </row>
    <row r="1618" spans="1:13" ht="12.75" x14ac:dyDescent="0.2">
      <c r="A1618" s="693">
        <v>1614</v>
      </c>
      <c r="B1618" s="745" t="str">
        <f t="shared" si="26"/>
        <v>Guatemala</v>
      </c>
      <c r="C1618" s="694" t="s">
        <v>3856</v>
      </c>
      <c r="D1618" s="1046"/>
      <c r="E1618" s="1046"/>
      <c r="F1618" s="1046"/>
      <c r="G1618" s="1046"/>
      <c r="H1618" s="1046"/>
      <c r="I1618" s="1046"/>
      <c r="J1618" s="1046"/>
      <c r="K1618" s="1046"/>
      <c r="L1618" s="1046"/>
      <c r="M1618" s="1046"/>
    </row>
    <row r="1619" spans="1:13" ht="12.75" x14ac:dyDescent="0.2">
      <c r="A1619" s="693">
        <v>1615</v>
      </c>
      <c r="B1619" s="745" t="str">
        <f t="shared" si="26"/>
        <v>Pataca</v>
      </c>
      <c r="C1619" s="694" t="s">
        <v>3857</v>
      </c>
      <c r="D1619" s="1046"/>
      <c r="E1619" s="1046"/>
      <c r="F1619" s="1046"/>
      <c r="G1619" s="1046"/>
      <c r="H1619" s="1046"/>
      <c r="I1619" s="1046"/>
      <c r="J1619" s="1046"/>
      <c r="K1619" s="1046"/>
      <c r="L1619" s="1046"/>
      <c r="M1619" s="1046"/>
    </row>
    <row r="1620" spans="1:13" ht="12.75" x14ac:dyDescent="0.2">
      <c r="A1620" s="693">
        <v>1616</v>
      </c>
      <c r="B1620" s="745" t="str">
        <f t="shared" si="26"/>
        <v>Guam</v>
      </c>
      <c r="C1620" s="694" t="s">
        <v>3858</v>
      </c>
      <c r="D1620" s="1046"/>
      <c r="E1620" s="1046"/>
      <c r="F1620" s="1046"/>
      <c r="G1620" s="1046"/>
      <c r="H1620" s="1046"/>
      <c r="I1620" s="1046"/>
      <c r="J1620" s="1046"/>
      <c r="K1620" s="1046"/>
      <c r="L1620" s="1046"/>
      <c r="M1620" s="1046"/>
    </row>
    <row r="1621" spans="1:13" ht="12.75" x14ac:dyDescent="0.2">
      <c r="A1621" s="693">
        <v>1617</v>
      </c>
      <c r="B1621" s="745" t="str">
        <f t="shared" si="26"/>
        <v>Ouguiya</v>
      </c>
      <c r="C1621" s="694" t="s">
        <v>3859</v>
      </c>
      <c r="D1621" s="1046"/>
      <c r="E1621" s="1046"/>
      <c r="F1621" s="1046"/>
      <c r="G1621" s="1046"/>
      <c r="H1621" s="1046"/>
      <c r="I1621" s="1046"/>
      <c r="J1621" s="1046"/>
      <c r="K1621" s="1046"/>
      <c r="L1621" s="1046"/>
      <c r="M1621" s="1046"/>
    </row>
    <row r="1622" spans="1:13" ht="12.75" x14ac:dyDescent="0.2">
      <c r="A1622" s="693">
        <v>1618</v>
      </c>
      <c r="B1622" s="745" t="str">
        <f t="shared" si="26"/>
        <v>Guinea-Bissau</v>
      </c>
      <c r="C1622" s="694" t="s">
        <v>3860</v>
      </c>
      <c r="D1622" s="1046"/>
      <c r="E1622" s="1046"/>
      <c r="F1622" s="1046"/>
      <c r="G1622" s="1046"/>
      <c r="H1622" s="1046"/>
      <c r="I1622" s="1046"/>
      <c r="J1622" s="1046"/>
      <c r="K1622" s="1046"/>
      <c r="L1622" s="1046"/>
      <c r="M1622" s="1046"/>
    </row>
    <row r="1623" spans="1:13" ht="12.75" x14ac:dyDescent="0.2">
      <c r="A1623" s="693">
        <v>1619</v>
      </c>
      <c r="B1623" s="745" t="str">
        <f t="shared" si="26"/>
        <v>Mauritius Rupee</v>
      </c>
      <c r="C1623" s="694" t="s">
        <v>3861</v>
      </c>
      <c r="D1623" s="1046"/>
      <c r="E1623" s="1046"/>
      <c r="F1623" s="1046"/>
      <c r="G1623" s="1046"/>
      <c r="H1623" s="1046"/>
      <c r="I1623" s="1046"/>
      <c r="J1623" s="1046"/>
      <c r="K1623" s="1046"/>
      <c r="L1623" s="1046"/>
      <c r="M1623" s="1046"/>
    </row>
    <row r="1624" spans="1:13" ht="12.75" x14ac:dyDescent="0.2">
      <c r="A1624" s="693">
        <v>1620</v>
      </c>
      <c r="B1624" s="745" t="str">
        <f t="shared" si="26"/>
        <v>Guyana</v>
      </c>
      <c r="C1624" s="694" t="s">
        <v>3862</v>
      </c>
      <c r="D1624" s="1046"/>
      <c r="E1624" s="1046"/>
      <c r="F1624" s="1046"/>
      <c r="G1624" s="1046"/>
      <c r="H1624" s="1046"/>
      <c r="I1624" s="1046"/>
      <c r="J1624" s="1046"/>
      <c r="K1624" s="1046"/>
      <c r="L1624" s="1046"/>
      <c r="M1624" s="1046"/>
    </row>
    <row r="1625" spans="1:13" ht="12.75" x14ac:dyDescent="0.2">
      <c r="A1625" s="693">
        <v>1621</v>
      </c>
      <c r="B1625" s="745" t="str">
        <f t="shared" si="26"/>
        <v>Rufiyaa</v>
      </c>
      <c r="C1625" s="694" t="s">
        <v>3863</v>
      </c>
      <c r="D1625" s="1046"/>
      <c r="E1625" s="1046"/>
      <c r="F1625" s="1046"/>
      <c r="G1625" s="1046"/>
      <c r="H1625" s="1046"/>
      <c r="I1625" s="1046"/>
      <c r="J1625" s="1046"/>
      <c r="K1625" s="1046"/>
      <c r="L1625" s="1046"/>
      <c r="M1625" s="1046"/>
    </row>
    <row r="1626" spans="1:13" ht="12.75" x14ac:dyDescent="0.2">
      <c r="A1626" s="693">
        <v>1622</v>
      </c>
      <c r="B1626" s="745" t="str">
        <f t="shared" si="26"/>
        <v>Hong Kong</v>
      </c>
      <c r="C1626" s="694" t="s">
        <v>3864</v>
      </c>
      <c r="D1626" s="1046"/>
      <c r="E1626" s="1046"/>
      <c r="F1626" s="1046"/>
      <c r="G1626" s="1046"/>
      <c r="H1626" s="1046"/>
      <c r="I1626" s="1046"/>
      <c r="J1626" s="1046"/>
      <c r="K1626" s="1046"/>
      <c r="L1626" s="1046"/>
      <c r="M1626" s="1046"/>
    </row>
    <row r="1627" spans="1:13" ht="12.75" x14ac:dyDescent="0.2">
      <c r="A1627" s="693">
        <v>1623</v>
      </c>
      <c r="B1627" s="745" t="str">
        <f t="shared" si="26"/>
        <v>Malawi Kwacha</v>
      </c>
      <c r="C1627" s="694" t="s">
        <v>3865</v>
      </c>
      <c r="D1627" s="1046"/>
      <c r="E1627" s="1046"/>
      <c r="F1627" s="1046"/>
      <c r="G1627" s="1046"/>
      <c r="H1627" s="1046"/>
      <c r="I1627" s="1046"/>
      <c r="J1627" s="1046"/>
      <c r="K1627" s="1046"/>
      <c r="L1627" s="1046"/>
      <c r="M1627" s="1046"/>
    </row>
    <row r="1628" spans="1:13" ht="12.75" x14ac:dyDescent="0.2">
      <c r="A1628" s="693">
        <v>1624</v>
      </c>
      <c r="B1628" s="745" t="str">
        <f t="shared" si="26"/>
        <v>Heard Island and McDonald Islands</v>
      </c>
      <c r="C1628" s="694" t="s">
        <v>3866</v>
      </c>
      <c r="D1628" s="1046"/>
      <c r="E1628" s="1046"/>
      <c r="F1628" s="1046"/>
      <c r="G1628" s="1046"/>
      <c r="H1628" s="1046"/>
      <c r="I1628" s="1046"/>
      <c r="J1628" s="1046"/>
      <c r="K1628" s="1046"/>
      <c r="L1628" s="1046"/>
      <c r="M1628" s="1046"/>
    </row>
    <row r="1629" spans="1:13" ht="12.75" x14ac:dyDescent="0.2">
      <c r="A1629" s="693">
        <v>1625</v>
      </c>
      <c r="B1629" s="745" t="str">
        <f t="shared" si="26"/>
        <v>Mexican Peso</v>
      </c>
      <c r="C1629" s="694" t="s">
        <v>3867</v>
      </c>
      <c r="D1629" s="1046"/>
      <c r="E1629" s="1046"/>
      <c r="F1629" s="1046"/>
      <c r="G1629" s="1046"/>
      <c r="H1629" s="1046"/>
      <c r="I1629" s="1046"/>
      <c r="J1629" s="1046"/>
      <c r="K1629" s="1046"/>
      <c r="L1629" s="1046"/>
      <c r="M1629" s="1046"/>
    </row>
    <row r="1630" spans="1:13" ht="12.75" x14ac:dyDescent="0.2">
      <c r="A1630" s="693">
        <v>1626</v>
      </c>
      <c r="B1630" s="745" t="str">
        <f t="shared" si="26"/>
        <v>Honduras</v>
      </c>
      <c r="C1630" s="694" t="s">
        <v>3868</v>
      </c>
      <c r="D1630" s="1046"/>
      <c r="E1630" s="1046"/>
      <c r="F1630" s="1046"/>
      <c r="G1630" s="1046"/>
      <c r="H1630" s="1046"/>
      <c r="I1630" s="1046"/>
      <c r="J1630" s="1046"/>
      <c r="K1630" s="1046"/>
      <c r="L1630" s="1046"/>
      <c r="M1630" s="1046"/>
    </row>
    <row r="1631" spans="1:13" ht="12.75" x14ac:dyDescent="0.2">
      <c r="A1631" s="693">
        <v>1627</v>
      </c>
      <c r="B1631" s="745" t="str">
        <f t="shared" si="26"/>
        <v>Mexican Unidad de Inversion (UDI)</v>
      </c>
      <c r="C1631" s="694" t="s">
        <v>3869</v>
      </c>
      <c r="D1631" s="1046"/>
      <c r="E1631" s="1046"/>
      <c r="F1631" s="1046"/>
      <c r="G1631" s="1046"/>
      <c r="H1631" s="1046"/>
      <c r="I1631" s="1046"/>
      <c r="J1631" s="1046"/>
      <c r="K1631" s="1046"/>
      <c r="L1631" s="1046"/>
      <c r="M1631" s="1046"/>
    </row>
    <row r="1632" spans="1:13" ht="12.75" x14ac:dyDescent="0.2">
      <c r="A1632" s="693">
        <v>1628</v>
      </c>
      <c r="B1632" s="745" t="str">
        <f t="shared" si="26"/>
        <v>Malaysian Ringgit</v>
      </c>
      <c r="C1632" s="694" t="s">
        <v>3870</v>
      </c>
      <c r="D1632" s="1046"/>
      <c r="E1632" s="1046"/>
      <c r="F1632" s="1046"/>
      <c r="G1632" s="1046"/>
      <c r="H1632" s="1046"/>
      <c r="I1632" s="1046"/>
      <c r="J1632" s="1046"/>
      <c r="K1632" s="1046"/>
      <c r="L1632" s="1046"/>
      <c r="M1632" s="1046"/>
    </row>
    <row r="1633" spans="1:13" ht="12.75" x14ac:dyDescent="0.2">
      <c r="A1633" s="693">
        <v>1629</v>
      </c>
      <c r="B1633" s="745" t="str">
        <f t="shared" si="26"/>
        <v>Haiti</v>
      </c>
      <c r="C1633" s="694" t="s">
        <v>3871</v>
      </c>
      <c r="D1633" s="1046"/>
      <c r="E1633" s="1046"/>
      <c r="F1633" s="1046"/>
      <c r="G1633" s="1046"/>
      <c r="H1633" s="1046"/>
      <c r="I1633" s="1046"/>
      <c r="J1633" s="1046"/>
      <c r="K1633" s="1046"/>
      <c r="L1633" s="1046"/>
      <c r="M1633" s="1046"/>
    </row>
    <row r="1634" spans="1:13" ht="12.75" x14ac:dyDescent="0.2">
      <c r="A1634" s="693">
        <v>1630</v>
      </c>
      <c r="B1634" s="745" t="str">
        <f t="shared" si="26"/>
        <v>Mozambique Metical</v>
      </c>
      <c r="C1634" s="694" t="s">
        <v>3872</v>
      </c>
      <c r="D1634" s="1046"/>
      <c r="E1634" s="1046"/>
      <c r="F1634" s="1046"/>
      <c r="G1634" s="1046"/>
      <c r="H1634" s="1046"/>
      <c r="I1634" s="1046"/>
      <c r="J1634" s="1046"/>
      <c r="K1634" s="1046"/>
      <c r="L1634" s="1046"/>
      <c r="M1634" s="1046"/>
    </row>
    <row r="1635" spans="1:13" ht="12.75" x14ac:dyDescent="0.2">
      <c r="A1635" s="693">
        <v>1631</v>
      </c>
      <c r="B1635" s="745" t="str">
        <f t="shared" si="26"/>
        <v>Namibia Dollar</v>
      </c>
      <c r="C1635" s="694" t="s">
        <v>3873</v>
      </c>
      <c r="D1635" s="1046"/>
      <c r="E1635" s="1046"/>
      <c r="F1635" s="1046"/>
      <c r="G1635" s="1046"/>
      <c r="H1635" s="1046"/>
      <c r="I1635" s="1046"/>
      <c r="J1635" s="1046"/>
      <c r="K1635" s="1046"/>
      <c r="L1635" s="1046"/>
      <c r="M1635" s="1046"/>
    </row>
    <row r="1636" spans="1:13" ht="12.75" x14ac:dyDescent="0.2">
      <c r="A1636" s="693">
        <v>1632</v>
      </c>
      <c r="B1636" s="745" t="str">
        <f t="shared" si="26"/>
        <v>Indonesia</v>
      </c>
      <c r="C1636" s="694" t="s">
        <v>3874</v>
      </c>
      <c r="D1636" s="1046"/>
      <c r="E1636" s="1046"/>
      <c r="F1636" s="1046"/>
      <c r="G1636" s="1046"/>
      <c r="H1636" s="1046"/>
      <c r="I1636" s="1046"/>
      <c r="J1636" s="1046"/>
      <c r="K1636" s="1046"/>
      <c r="L1636" s="1046"/>
      <c r="M1636" s="1046"/>
    </row>
    <row r="1637" spans="1:13" ht="12.75" x14ac:dyDescent="0.2">
      <c r="A1637" s="693">
        <v>1633</v>
      </c>
      <c r="B1637" s="745" t="str">
        <f t="shared" si="26"/>
        <v>Naira</v>
      </c>
      <c r="C1637" s="694" t="s">
        <v>3875</v>
      </c>
      <c r="D1637" s="1046"/>
      <c r="E1637" s="1046"/>
      <c r="F1637" s="1046"/>
      <c r="G1637" s="1046"/>
      <c r="H1637" s="1046"/>
      <c r="I1637" s="1046"/>
      <c r="J1637" s="1046"/>
      <c r="K1637" s="1046"/>
      <c r="L1637" s="1046"/>
      <c r="M1637" s="1046"/>
    </row>
    <row r="1638" spans="1:13" ht="12.75" x14ac:dyDescent="0.2">
      <c r="A1638" s="693">
        <v>1634</v>
      </c>
      <c r="B1638" s="745" t="str">
        <f t="shared" si="26"/>
        <v>Cordoba Oro</v>
      </c>
      <c r="C1638" s="694" t="s">
        <v>3876</v>
      </c>
      <c r="D1638" s="1046"/>
      <c r="E1638" s="1046"/>
      <c r="F1638" s="1046"/>
      <c r="G1638" s="1046"/>
      <c r="H1638" s="1046"/>
      <c r="I1638" s="1046"/>
      <c r="J1638" s="1046"/>
      <c r="K1638" s="1046"/>
      <c r="L1638" s="1046"/>
      <c r="M1638" s="1046"/>
    </row>
    <row r="1639" spans="1:13" ht="12.75" x14ac:dyDescent="0.2">
      <c r="A1639" s="693">
        <v>1635</v>
      </c>
      <c r="B1639" s="745" t="str">
        <f t="shared" si="26"/>
        <v>Israel</v>
      </c>
      <c r="C1639" s="694" t="s">
        <v>3877</v>
      </c>
      <c r="D1639" s="1046"/>
      <c r="E1639" s="1046"/>
      <c r="F1639" s="1046"/>
      <c r="G1639" s="1046"/>
      <c r="H1639" s="1046"/>
      <c r="I1639" s="1046"/>
      <c r="J1639" s="1046"/>
      <c r="K1639" s="1046"/>
      <c r="L1639" s="1046"/>
      <c r="M1639" s="1046"/>
    </row>
    <row r="1640" spans="1:13" ht="12.75" x14ac:dyDescent="0.2">
      <c r="A1640" s="693">
        <v>1636</v>
      </c>
      <c r="B1640" s="745" t="str">
        <f t="shared" si="26"/>
        <v>Norwegian Krone</v>
      </c>
      <c r="C1640" s="694" t="s">
        <v>3878</v>
      </c>
      <c r="D1640" s="1046"/>
      <c r="E1640" s="1046"/>
      <c r="F1640" s="1046"/>
      <c r="G1640" s="1046"/>
      <c r="H1640" s="1046"/>
      <c r="I1640" s="1046"/>
      <c r="J1640" s="1046"/>
      <c r="K1640" s="1046"/>
      <c r="L1640" s="1046"/>
      <c r="M1640" s="1046"/>
    </row>
    <row r="1641" spans="1:13" ht="12.75" x14ac:dyDescent="0.2">
      <c r="A1641" s="693">
        <v>1637</v>
      </c>
      <c r="B1641" s="745" t="str">
        <f t="shared" si="26"/>
        <v>Isle of Man</v>
      </c>
      <c r="C1641" s="694" t="s">
        <v>3879</v>
      </c>
      <c r="D1641" s="1046"/>
      <c r="E1641" s="1046"/>
      <c r="F1641" s="1046"/>
      <c r="G1641" s="1046"/>
      <c r="H1641" s="1046"/>
      <c r="I1641" s="1046"/>
      <c r="J1641" s="1046"/>
      <c r="K1641" s="1046"/>
      <c r="L1641" s="1046"/>
      <c r="M1641" s="1046"/>
    </row>
    <row r="1642" spans="1:13" ht="12.75" x14ac:dyDescent="0.2">
      <c r="A1642" s="693">
        <v>1638</v>
      </c>
      <c r="B1642" s="745" t="str">
        <f t="shared" si="26"/>
        <v>Nepalese Rupee</v>
      </c>
      <c r="C1642" s="694" t="s">
        <v>3880</v>
      </c>
      <c r="D1642" s="1046"/>
      <c r="E1642" s="1046"/>
      <c r="F1642" s="1046"/>
      <c r="G1642" s="1046"/>
      <c r="H1642" s="1046"/>
      <c r="I1642" s="1046"/>
      <c r="J1642" s="1046"/>
      <c r="K1642" s="1046"/>
      <c r="L1642" s="1046"/>
      <c r="M1642" s="1046"/>
    </row>
    <row r="1643" spans="1:13" ht="12.75" x14ac:dyDescent="0.2">
      <c r="A1643" s="693">
        <v>1639</v>
      </c>
      <c r="B1643" s="745" t="str">
        <f t="shared" si="26"/>
        <v>India</v>
      </c>
      <c r="C1643" s="694" t="s">
        <v>3881</v>
      </c>
      <c r="D1643" s="1046"/>
      <c r="E1643" s="1046"/>
      <c r="F1643" s="1046"/>
      <c r="G1643" s="1046"/>
      <c r="H1643" s="1046"/>
      <c r="I1643" s="1046"/>
      <c r="J1643" s="1046"/>
      <c r="K1643" s="1046"/>
      <c r="L1643" s="1046"/>
      <c r="M1643" s="1046"/>
    </row>
    <row r="1644" spans="1:13" ht="12.75" x14ac:dyDescent="0.2">
      <c r="A1644" s="693">
        <v>1640</v>
      </c>
      <c r="B1644" s="745" t="str">
        <f t="shared" si="26"/>
        <v>New Zealand Dollar</v>
      </c>
      <c r="C1644" s="694" t="s">
        <v>3882</v>
      </c>
      <c r="D1644" s="1046"/>
      <c r="E1644" s="1046"/>
      <c r="F1644" s="1046"/>
      <c r="G1644" s="1046"/>
      <c r="H1644" s="1046"/>
      <c r="I1644" s="1046"/>
      <c r="J1644" s="1046"/>
      <c r="K1644" s="1046"/>
      <c r="L1644" s="1046"/>
      <c r="M1644" s="1046"/>
    </row>
    <row r="1645" spans="1:13" ht="12.75" x14ac:dyDescent="0.2">
      <c r="A1645" s="693">
        <v>1641</v>
      </c>
      <c r="B1645" s="745" t="str">
        <f t="shared" si="26"/>
        <v>British Indian Ocean Territory</v>
      </c>
      <c r="C1645" s="694" t="s">
        <v>3883</v>
      </c>
      <c r="D1645" s="1046"/>
      <c r="E1645" s="1046"/>
      <c r="F1645" s="1046"/>
      <c r="G1645" s="1046"/>
      <c r="H1645" s="1046"/>
      <c r="I1645" s="1046"/>
      <c r="J1645" s="1046"/>
      <c r="K1645" s="1046"/>
      <c r="L1645" s="1046"/>
      <c r="M1645" s="1046"/>
    </row>
    <row r="1646" spans="1:13" ht="12.75" x14ac:dyDescent="0.2">
      <c r="A1646" s="693">
        <v>1642</v>
      </c>
      <c r="B1646" s="745" t="str">
        <f t="shared" si="26"/>
        <v>Rial Omani</v>
      </c>
      <c r="C1646" s="694" t="s">
        <v>3884</v>
      </c>
      <c r="D1646" s="1046"/>
      <c r="E1646" s="1046"/>
      <c r="F1646" s="1046"/>
      <c r="G1646" s="1046"/>
      <c r="H1646" s="1046"/>
      <c r="I1646" s="1046"/>
      <c r="J1646" s="1046"/>
      <c r="K1646" s="1046"/>
      <c r="L1646" s="1046"/>
      <c r="M1646" s="1046"/>
    </row>
    <row r="1647" spans="1:13" ht="12.75" x14ac:dyDescent="0.2">
      <c r="A1647" s="693">
        <v>1643</v>
      </c>
      <c r="B1647" s="745" t="str">
        <f t="shared" si="26"/>
        <v>Iraq</v>
      </c>
      <c r="C1647" s="694" t="s">
        <v>3885</v>
      </c>
      <c r="D1647" s="1046"/>
      <c r="E1647" s="1046"/>
      <c r="F1647" s="1046"/>
      <c r="G1647" s="1046"/>
      <c r="H1647" s="1046"/>
      <c r="I1647" s="1046"/>
      <c r="J1647" s="1046"/>
      <c r="K1647" s="1046"/>
      <c r="L1647" s="1046"/>
      <c r="M1647" s="1046"/>
    </row>
    <row r="1648" spans="1:13" ht="12.75" x14ac:dyDescent="0.2">
      <c r="A1648" s="693">
        <v>1644</v>
      </c>
      <c r="B1648" s="745" t="str">
        <f t="shared" si="26"/>
        <v>Balboa</v>
      </c>
      <c r="C1648" s="694" t="s">
        <v>3886</v>
      </c>
      <c r="D1648" s="1046"/>
      <c r="E1648" s="1046"/>
      <c r="F1648" s="1046"/>
      <c r="G1648" s="1046"/>
      <c r="H1648" s="1046"/>
      <c r="I1648" s="1046"/>
      <c r="J1648" s="1046"/>
      <c r="K1648" s="1046"/>
      <c r="L1648" s="1046"/>
      <c r="M1648" s="1046"/>
    </row>
    <row r="1649" spans="1:13" ht="12.75" x14ac:dyDescent="0.2">
      <c r="A1649" s="693">
        <v>1645</v>
      </c>
      <c r="B1649" s="745" t="str">
        <f t="shared" si="26"/>
        <v>Iran, Islamic Republic of</v>
      </c>
      <c r="C1649" s="694" t="s">
        <v>3887</v>
      </c>
      <c r="D1649" s="1046"/>
      <c r="E1649" s="1046"/>
      <c r="F1649" s="1046"/>
      <c r="G1649" s="1046"/>
      <c r="H1649" s="1046"/>
      <c r="I1649" s="1046"/>
      <c r="J1649" s="1046"/>
      <c r="K1649" s="1046"/>
      <c r="L1649" s="1046"/>
      <c r="M1649" s="1046"/>
    </row>
    <row r="1650" spans="1:13" ht="12.75" x14ac:dyDescent="0.2">
      <c r="A1650" s="693">
        <v>1646</v>
      </c>
      <c r="B1650" s="745" t="str">
        <f t="shared" si="26"/>
        <v>Sol</v>
      </c>
      <c r="C1650" s="694" t="s">
        <v>3888</v>
      </c>
      <c r="D1650" s="1046"/>
      <c r="E1650" s="1046"/>
      <c r="F1650" s="1046"/>
      <c r="G1650" s="1046"/>
      <c r="H1650" s="1046"/>
      <c r="I1650" s="1046"/>
      <c r="J1650" s="1046"/>
      <c r="K1650" s="1046"/>
      <c r="L1650" s="1046"/>
      <c r="M1650" s="1046"/>
    </row>
    <row r="1651" spans="1:13" ht="12.75" x14ac:dyDescent="0.2">
      <c r="A1651" s="693">
        <v>1647</v>
      </c>
      <c r="B1651" s="745" t="str">
        <f t="shared" si="26"/>
        <v>Kina</v>
      </c>
      <c r="C1651" s="694" t="s">
        <v>3889</v>
      </c>
      <c r="D1651" s="1046"/>
      <c r="E1651" s="1046"/>
      <c r="F1651" s="1046"/>
      <c r="G1651" s="1046"/>
      <c r="H1651" s="1046"/>
      <c r="I1651" s="1046"/>
      <c r="J1651" s="1046"/>
      <c r="K1651" s="1046"/>
      <c r="L1651" s="1046"/>
      <c r="M1651" s="1046"/>
    </row>
    <row r="1652" spans="1:13" ht="12.75" x14ac:dyDescent="0.2">
      <c r="A1652" s="693">
        <v>1648</v>
      </c>
      <c r="B1652" s="745" t="str">
        <f t="shared" si="26"/>
        <v>Philippine Peso</v>
      </c>
      <c r="C1652" s="694" t="s">
        <v>3890</v>
      </c>
      <c r="D1652" s="1046"/>
      <c r="E1652" s="1046"/>
      <c r="F1652" s="1046"/>
      <c r="G1652" s="1046"/>
      <c r="H1652" s="1046"/>
      <c r="I1652" s="1046"/>
      <c r="J1652" s="1046"/>
      <c r="K1652" s="1046"/>
      <c r="L1652" s="1046"/>
      <c r="M1652" s="1046"/>
    </row>
    <row r="1653" spans="1:13" ht="12.75" x14ac:dyDescent="0.2">
      <c r="A1653" s="693">
        <v>1649</v>
      </c>
      <c r="B1653" s="745" t="str">
        <f t="shared" si="26"/>
        <v>Jersey</v>
      </c>
      <c r="C1653" s="694" t="s">
        <v>3891</v>
      </c>
      <c r="D1653" s="1046"/>
      <c r="E1653" s="1046"/>
      <c r="F1653" s="1046"/>
      <c r="G1653" s="1046"/>
      <c r="H1653" s="1046"/>
      <c r="I1653" s="1046"/>
      <c r="J1653" s="1046"/>
      <c r="K1653" s="1046"/>
      <c r="L1653" s="1046"/>
      <c r="M1653" s="1046"/>
    </row>
    <row r="1654" spans="1:13" ht="12.75" x14ac:dyDescent="0.2">
      <c r="A1654" s="693">
        <v>1650</v>
      </c>
      <c r="B1654" s="745" t="str">
        <f t="shared" si="26"/>
        <v>Pakistan Rupee</v>
      </c>
      <c r="C1654" s="694" t="s">
        <v>3892</v>
      </c>
      <c r="D1654" s="1046"/>
      <c r="E1654" s="1046"/>
      <c r="F1654" s="1046"/>
      <c r="G1654" s="1046"/>
      <c r="H1654" s="1046"/>
      <c r="I1654" s="1046"/>
      <c r="J1654" s="1046"/>
      <c r="K1654" s="1046"/>
      <c r="L1654" s="1046"/>
      <c r="M1654" s="1046"/>
    </row>
    <row r="1655" spans="1:13" ht="12.75" x14ac:dyDescent="0.2">
      <c r="A1655" s="693">
        <v>1651</v>
      </c>
      <c r="B1655" s="745" t="str">
        <f t="shared" si="26"/>
        <v>Jamaica</v>
      </c>
      <c r="C1655" s="694" t="s">
        <v>3893</v>
      </c>
      <c r="D1655" s="1046"/>
      <c r="E1655" s="1046"/>
      <c r="F1655" s="1046"/>
      <c r="G1655" s="1046"/>
      <c r="H1655" s="1046"/>
      <c r="I1655" s="1046"/>
      <c r="J1655" s="1046"/>
      <c r="K1655" s="1046"/>
      <c r="L1655" s="1046"/>
      <c r="M1655" s="1046"/>
    </row>
    <row r="1656" spans="1:13" ht="12.75" x14ac:dyDescent="0.2">
      <c r="A1656" s="693">
        <v>1652</v>
      </c>
      <c r="B1656" s="745" t="str">
        <f t="shared" si="26"/>
        <v>Zloty</v>
      </c>
      <c r="C1656" s="694" t="s">
        <v>3894</v>
      </c>
      <c r="D1656" s="1046"/>
      <c r="E1656" s="1046"/>
      <c r="F1656" s="1046"/>
      <c r="G1656" s="1046"/>
      <c r="H1656" s="1046"/>
      <c r="I1656" s="1046"/>
      <c r="J1656" s="1046"/>
      <c r="K1656" s="1046"/>
      <c r="L1656" s="1046"/>
      <c r="M1656" s="1046"/>
    </row>
    <row r="1657" spans="1:13" ht="12.75" x14ac:dyDescent="0.2">
      <c r="A1657" s="693">
        <v>1653</v>
      </c>
      <c r="B1657" s="745" t="str">
        <f t="shared" si="26"/>
        <v>Jordan</v>
      </c>
      <c r="C1657" s="694" t="s">
        <v>3895</v>
      </c>
      <c r="D1657" s="1046"/>
      <c r="E1657" s="1046"/>
      <c r="F1657" s="1046"/>
      <c r="G1657" s="1046"/>
      <c r="H1657" s="1046"/>
      <c r="I1657" s="1046"/>
      <c r="J1657" s="1046"/>
      <c r="K1657" s="1046"/>
      <c r="L1657" s="1046"/>
      <c r="M1657" s="1046"/>
    </row>
    <row r="1658" spans="1:13" ht="12.75" x14ac:dyDescent="0.2">
      <c r="A1658" s="693">
        <v>1654</v>
      </c>
      <c r="B1658" s="745" t="str">
        <f t="shared" si="26"/>
        <v>Guarani</v>
      </c>
      <c r="C1658" s="694" t="s">
        <v>3896</v>
      </c>
      <c r="D1658" s="1046"/>
      <c r="E1658" s="1046"/>
      <c r="F1658" s="1046"/>
      <c r="G1658" s="1046"/>
      <c r="H1658" s="1046"/>
      <c r="I1658" s="1046"/>
      <c r="J1658" s="1046"/>
      <c r="K1658" s="1046"/>
      <c r="L1658" s="1046"/>
      <c r="M1658" s="1046"/>
    </row>
    <row r="1659" spans="1:13" ht="12.75" x14ac:dyDescent="0.2">
      <c r="A1659" s="693">
        <v>1655</v>
      </c>
      <c r="B1659" s="745" t="str">
        <f t="shared" si="26"/>
        <v>Japan</v>
      </c>
      <c r="C1659" s="694" t="s">
        <v>3897</v>
      </c>
      <c r="D1659" s="1046"/>
      <c r="E1659" s="1046"/>
      <c r="F1659" s="1046"/>
      <c r="G1659" s="1046"/>
      <c r="H1659" s="1046"/>
      <c r="I1659" s="1046"/>
      <c r="J1659" s="1046"/>
      <c r="K1659" s="1046"/>
      <c r="L1659" s="1046"/>
      <c r="M1659" s="1046"/>
    </row>
    <row r="1660" spans="1:13" ht="12.75" x14ac:dyDescent="0.2">
      <c r="A1660" s="693">
        <v>1656</v>
      </c>
      <c r="B1660" s="745" t="str">
        <f t="shared" si="26"/>
        <v>Qatari Rial</v>
      </c>
      <c r="C1660" s="694" t="s">
        <v>3898</v>
      </c>
      <c r="D1660" s="1046"/>
      <c r="E1660" s="1046"/>
      <c r="F1660" s="1046"/>
      <c r="G1660" s="1046"/>
      <c r="H1660" s="1046"/>
      <c r="I1660" s="1046"/>
      <c r="J1660" s="1046"/>
      <c r="K1660" s="1046"/>
      <c r="L1660" s="1046"/>
      <c r="M1660" s="1046"/>
    </row>
    <row r="1661" spans="1:13" ht="12.75" x14ac:dyDescent="0.2">
      <c r="A1661" s="693">
        <v>1657</v>
      </c>
      <c r="B1661" s="745" t="str">
        <f t="shared" si="26"/>
        <v>Kenya</v>
      </c>
      <c r="C1661" s="694" t="s">
        <v>3899</v>
      </c>
      <c r="D1661" s="1046"/>
      <c r="E1661" s="1046"/>
      <c r="F1661" s="1046"/>
      <c r="G1661" s="1046"/>
      <c r="H1661" s="1046"/>
      <c r="I1661" s="1046"/>
      <c r="J1661" s="1046"/>
      <c r="K1661" s="1046"/>
      <c r="L1661" s="1046"/>
      <c r="M1661" s="1046"/>
    </row>
    <row r="1662" spans="1:13" ht="12.75" x14ac:dyDescent="0.2">
      <c r="A1662" s="693">
        <v>1658</v>
      </c>
      <c r="B1662" s="745" t="str">
        <f t="shared" si="26"/>
        <v>Romanian Leu</v>
      </c>
      <c r="C1662" s="694" t="s">
        <v>3900</v>
      </c>
      <c r="D1662" s="1046"/>
      <c r="E1662" s="1046"/>
      <c r="F1662" s="1046"/>
      <c r="G1662" s="1046"/>
      <c r="H1662" s="1046"/>
      <c r="I1662" s="1046"/>
      <c r="J1662" s="1046"/>
      <c r="K1662" s="1046"/>
      <c r="L1662" s="1046"/>
      <c r="M1662" s="1046"/>
    </row>
    <row r="1663" spans="1:13" ht="12.75" x14ac:dyDescent="0.2">
      <c r="A1663" s="693">
        <v>1659</v>
      </c>
      <c r="B1663" s="745" t="str">
        <f t="shared" si="26"/>
        <v>Kyrgyz, Republic</v>
      </c>
      <c r="C1663" s="694" t="s">
        <v>3901</v>
      </c>
      <c r="D1663" s="1046"/>
      <c r="E1663" s="1046"/>
      <c r="F1663" s="1046"/>
      <c r="G1663" s="1046"/>
      <c r="H1663" s="1046"/>
      <c r="I1663" s="1046"/>
      <c r="J1663" s="1046"/>
      <c r="K1663" s="1046"/>
      <c r="L1663" s="1046"/>
      <c r="M1663" s="1046"/>
    </row>
    <row r="1664" spans="1:13" ht="12.75" x14ac:dyDescent="0.2">
      <c r="A1664" s="693">
        <v>1660</v>
      </c>
      <c r="B1664" s="745" t="str">
        <f t="shared" si="26"/>
        <v>Serbian Dinar</v>
      </c>
      <c r="C1664" s="694" t="s">
        <v>3902</v>
      </c>
      <c r="D1664" s="1046"/>
      <c r="E1664" s="1046"/>
      <c r="F1664" s="1046"/>
      <c r="G1664" s="1046"/>
      <c r="H1664" s="1046"/>
      <c r="I1664" s="1046"/>
      <c r="J1664" s="1046"/>
      <c r="K1664" s="1046"/>
      <c r="L1664" s="1046"/>
      <c r="M1664" s="1046"/>
    </row>
    <row r="1665" spans="1:13" ht="12.75" x14ac:dyDescent="0.2">
      <c r="A1665" s="693">
        <v>1661</v>
      </c>
      <c r="B1665" s="745" t="str">
        <f t="shared" si="26"/>
        <v>Cambodia</v>
      </c>
      <c r="C1665" s="694" t="s">
        <v>3903</v>
      </c>
      <c r="D1665" s="1046"/>
      <c r="E1665" s="1046"/>
      <c r="F1665" s="1046"/>
      <c r="G1665" s="1046"/>
      <c r="H1665" s="1046"/>
      <c r="I1665" s="1046"/>
      <c r="J1665" s="1046"/>
      <c r="K1665" s="1046"/>
      <c r="L1665" s="1046"/>
      <c r="M1665" s="1046"/>
    </row>
    <row r="1666" spans="1:13" ht="12.75" x14ac:dyDescent="0.2">
      <c r="A1666" s="693">
        <v>1662</v>
      </c>
      <c r="B1666" s="745" t="str">
        <f t="shared" si="26"/>
        <v>Russian Ruble</v>
      </c>
      <c r="C1666" s="694" t="s">
        <v>3904</v>
      </c>
      <c r="D1666" s="1046"/>
      <c r="E1666" s="1046"/>
      <c r="F1666" s="1046"/>
      <c r="G1666" s="1046"/>
      <c r="H1666" s="1046"/>
      <c r="I1666" s="1046"/>
      <c r="J1666" s="1046"/>
      <c r="K1666" s="1046"/>
      <c r="L1666" s="1046"/>
      <c r="M1666" s="1046"/>
    </row>
    <row r="1667" spans="1:13" ht="12.75" x14ac:dyDescent="0.2">
      <c r="A1667" s="693">
        <v>1663</v>
      </c>
      <c r="B1667" s="745" t="str">
        <f t="shared" si="26"/>
        <v>Kiribati</v>
      </c>
      <c r="C1667" s="694" t="s">
        <v>3905</v>
      </c>
      <c r="D1667" s="1046"/>
      <c r="E1667" s="1046"/>
      <c r="F1667" s="1046"/>
      <c r="G1667" s="1046"/>
      <c r="H1667" s="1046"/>
      <c r="I1667" s="1046"/>
      <c r="J1667" s="1046"/>
      <c r="K1667" s="1046"/>
      <c r="L1667" s="1046"/>
      <c r="M1667" s="1046"/>
    </row>
    <row r="1668" spans="1:13" ht="12.75" x14ac:dyDescent="0.2">
      <c r="A1668" s="693">
        <v>1664</v>
      </c>
      <c r="B1668" s="745" t="str">
        <f t="shared" si="26"/>
        <v>Rwanda Franc</v>
      </c>
      <c r="C1668" s="694" t="s">
        <v>3906</v>
      </c>
      <c r="D1668" s="1046"/>
      <c r="E1668" s="1046"/>
      <c r="F1668" s="1046"/>
      <c r="G1668" s="1046"/>
      <c r="H1668" s="1046"/>
      <c r="I1668" s="1046"/>
      <c r="J1668" s="1046"/>
      <c r="K1668" s="1046"/>
      <c r="L1668" s="1046"/>
      <c r="M1668" s="1046"/>
    </row>
    <row r="1669" spans="1:13" ht="12.75" x14ac:dyDescent="0.2">
      <c r="A1669" s="693">
        <v>1665</v>
      </c>
      <c r="B1669" s="745" t="str">
        <f t="shared" si="26"/>
        <v>Comoros</v>
      </c>
      <c r="C1669" s="694" t="s">
        <v>3907</v>
      </c>
      <c r="D1669" s="1046"/>
      <c r="E1669" s="1046"/>
      <c r="F1669" s="1046"/>
      <c r="G1669" s="1046"/>
      <c r="H1669" s="1046"/>
      <c r="I1669" s="1046"/>
      <c r="J1669" s="1046"/>
      <c r="K1669" s="1046"/>
      <c r="L1669" s="1046"/>
      <c r="M1669" s="1046"/>
    </row>
    <row r="1670" spans="1:13" ht="12.75" x14ac:dyDescent="0.2">
      <c r="A1670" s="693">
        <v>1666</v>
      </c>
      <c r="B1670" s="745" t="str">
        <f t="shared" si="26"/>
        <v>Saudi Riyal</v>
      </c>
      <c r="C1670" s="694" t="s">
        <v>3908</v>
      </c>
      <c r="D1670" s="1046"/>
      <c r="E1670" s="1046"/>
      <c r="F1670" s="1046"/>
      <c r="G1670" s="1046"/>
      <c r="H1670" s="1046"/>
      <c r="I1670" s="1046"/>
      <c r="J1670" s="1046"/>
      <c r="K1670" s="1046"/>
      <c r="L1670" s="1046"/>
      <c r="M1670" s="1046"/>
    </row>
    <row r="1671" spans="1:13" ht="12.75" x14ac:dyDescent="0.2">
      <c r="A1671" s="693">
        <v>1667</v>
      </c>
      <c r="B1671" s="745" t="str">
        <f t="shared" si="26"/>
        <v>St Kitts and Nevis</v>
      </c>
      <c r="C1671" s="694" t="s">
        <v>3909</v>
      </c>
      <c r="D1671" s="1046"/>
      <c r="E1671" s="1046"/>
      <c r="F1671" s="1046"/>
      <c r="G1671" s="1046"/>
      <c r="H1671" s="1046"/>
      <c r="I1671" s="1046"/>
      <c r="J1671" s="1046"/>
      <c r="K1671" s="1046"/>
      <c r="L1671" s="1046"/>
      <c r="M1671" s="1046"/>
    </row>
    <row r="1672" spans="1:13" ht="12.75" x14ac:dyDescent="0.2">
      <c r="A1672" s="693">
        <v>1668</v>
      </c>
      <c r="B1672" s="745" t="str">
        <f t="shared" si="26"/>
        <v>Solomon Islands Dollar</v>
      </c>
      <c r="C1672" s="694" t="s">
        <v>3910</v>
      </c>
      <c r="D1672" s="1046"/>
      <c r="E1672" s="1046"/>
      <c r="F1672" s="1046"/>
      <c r="G1672" s="1046"/>
      <c r="H1672" s="1046"/>
      <c r="I1672" s="1046"/>
      <c r="J1672" s="1046"/>
      <c r="K1672" s="1046"/>
      <c r="L1672" s="1046"/>
      <c r="M1672" s="1046"/>
    </row>
    <row r="1673" spans="1:13" ht="12.75" x14ac:dyDescent="0.2">
      <c r="A1673" s="693">
        <v>1669</v>
      </c>
      <c r="B1673" s="745" t="str">
        <f t="shared" si="26"/>
        <v>Korea, Democratic People’s Republ</v>
      </c>
      <c r="C1673" s="694" t="s">
        <v>3911</v>
      </c>
      <c r="D1673" s="1046"/>
      <c r="E1673" s="1046"/>
      <c r="F1673" s="1046"/>
      <c r="G1673" s="1046"/>
      <c r="H1673" s="1046"/>
      <c r="I1673" s="1046"/>
      <c r="J1673" s="1046"/>
      <c r="K1673" s="1046"/>
      <c r="L1673" s="1046"/>
      <c r="M1673" s="1046"/>
    </row>
    <row r="1674" spans="1:13" ht="12.75" x14ac:dyDescent="0.2">
      <c r="A1674" s="693">
        <v>1670</v>
      </c>
      <c r="B1674" s="745" t="str">
        <f t="shared" si="26"/>
        <v>Seychelles Rupee</v>
      </c>
      <c r="C1674" s="694" t="s">
        <v>3912</v>
      </c>
      <c r="D1674" s="1046"/>
      <c r="E1674" s="1046"/>
      <c r="F1674" s="1046"/>
      <c r="G1674" s="1046"/>
      <c r="H1674" s="1046"/>
      <c r="I1674" s="1046"/>
      <c r="J1674" s="1046"/>
      <c r="K1674" s="1046"/>
      <c r="L1674" s="1046"/>
      <c r="M1674" s="1046"/>
    </row>
    <row r="1675" spans="1:13" ht="12.75" x14ac:dyDescent="0.2">
      <c r="A1675" s="693">
        <v>1671</v>
      </c>
      <c r="B1675" s="745" t="str">
        <f t="shared" ref="B1675:B1738" si="27">IFERROR(INDEX(C1675:M1675,$A$4-2),$C1675)</f>
        <v>Korea, Republic of</v>
      </c>
      <c r="C1675" s="694" t="s">
        <v>3913</v>
      </c>
      <c r="D1675" s="1046"/>
      <c r="E1675" s="1046"/>
      <c r="F1675" s="1046"/>
      <c r="G1675" s="1046"/>
      <c r="H1675" s="1046"/>
      <c r="I1675" s="1046"/>
      <c r="J1675" s="1046"/>
      <c r="K1675" s="1046"/>
      <c r="L1675" s="1046"/>
      <c r="M1675" s="1046"/>
    </row>
    <row r="1676" spans="1:13" ht="12.75" x14ac:dyDescent="0.2">
      <c r="A1676" s="693">
        <v>1672</v>
      </c>
      <c r="B1676" s="745" t="str">
        <f t="shared" si="27"/>
        <v>Sudanese Pound</v>
      </c>
      <c r="C1676" s="694" t="s">
        <v>3914</v>
      </c>
      <c r="D1676" s="1046"/>
      <c r="E1676" s="1046"/>
      <c r="F1676" s="1046"/>
      <c r="G1676" s="1046"/>
      <c r="H1676" s="1046"/>
      <c r="I1676" s="1046"/>
      <c r="J1676" s="1046"/>
      <c r="K1676" s="1046"/>
      <c r="L1676" s="1046"/>
      <c r="M1676" s="1046"/>
    </row>
    <row r="1677" spans="1:13" ht="12.75" x14ac:dyDescent="0.2">
      <c r="A1677" s="693">
        <v>1673</v>
      </c>
      <c r="B1677" s="745" t="str">
        <f t="shared" si="27"/>
        <v>Kuwait</v>
      </c>
      <c r="C1677" s="694" t="s">
        <v>3915</v>
      </c>
      <c r="D1677" s="1046"/>
      <c r="E1677" s="1046"/>
      <c r="F1677" s="1046"/>
      <c r="G1677" s="1046"/>
      <c r="H1677" s="1046"/>
      <c r="I1677" s="1046"/>
      <c r="J1677" s="1046"/>
      <c r="K1677" s="1046"/>
      <c r="L1677" s="1046"/>
      <c r="M1677" s="1046"/>
    </row>
    <row r="1678" spans="1:13" ht="12.75" x14ac:dyDescent="0.2">
      <c r="A1678" s="693">
        <v>1674</v>
      </c>
      <c r="B1678" s="745" t="str">
        <f t="shared" si="27"/>
        <v>Swedish Krona</v>
      </c>
      <c r="C1678" s="694" t="s">
        <v>3916</v>
      </c>
      <c r="D1678" s="1046"/>
      <c r="E1678" s="1046"/>
      <c r="F1678" s="1046"/>
      <c r="G1678" s="1046"/>
      <c r="H1678" s="1046"/>
      <c r="I1678" s="1046"/>
      <c r="J1678" s="1046"/>
      <c r="K1678" s="1046"/>
      <c r="L1678" s="1046"/>
      <c r="M1678" s="1046"/>
    </row>
    <row r="1679" spans="1:13" ht="12.75" x14ac:dyDescent="0.2">
      <c r="A1679" s="693">
        <v>1675</v>
      </c>
      <c r="B1679" s="745" t="str">
        <f t="shared" si="27"/>
        <v>Cayman Islands</v>
      </c>
      <c r="C1679" s="694" t="s">
        <v>3917</v>
      </c>
      <c r="D1679" s="1046"/>
      <c r="E1679" s="1046"/>
      <c r="F1679" s="1046"/>
      <c r="G1679" s="1046"/>
      <c r="H1679" s="1046"/>
      <c r="I1679" s="1046"/>
      <c r="J1679" s="1046"/>
      <c r="K1679" s="1046"/>
      <c r="L1679" s="1046"/>
      <c r="M1679" s="1046"/>
    </row>
    <row r="1680" spans="1:13" ht="12.75" x14ac:dyDescent="0.2">
      <c r="A1680" s="693">
        <v>1676</v>
      </c>
      <c r="B1680" s="745" t="str">
        <f t="shared" si="27"/>
        <v>Singapore Dollar</v>
      </c>
      <c r="C1680" s="694" t="s">
        <v>3918</v>
      </c>
      <c r="D1680" s="1046"/>
      <c r="E1680" s="1046"/>
      <c r="F1680" s="1046"/>
      <c r="G1680" s="1046"/>
      <c r="H1680" s="1046"/>
      <c r="I1680" s="1046"/>
      <c r="J1680" s="1046"/>
      <c r="K1680" s="1046"/>
      <c r="L1680" s="1046"/>
      <c r="M1680" s="1046"/>
    </row>
    <row r="1681" spans="1:13" ht="12.75" x14ac:dyDescent="0.2">
      <c r="A1681" s="693">
        <v>1677</v>
      </c>
      <c r="B1681" s="745" t="str">
        <f t="shared" si="27"/>
        <v>Kazakhstan</v>
      </c>
      <c r="C1681" s="694" t="s">
        <v>3919</v>
      </c>
      <c r="D1681" s="1046"/>
      <c r="E1681" s="1046"/>
      <c r="F1681" s="1046"/>
      <c r="G1681" s="1046"/>
      <c r="H1681" s="1046"/>
      <c r="I1681" s="1046"/>
      <c r="J1681" s="1046"/>
      <c r="K1681" s="1046"/>
      <c r="L1681" s="1046"/>
      <c r="M1681" s="1046"/>
    </row>
    <row r="1682" spans="1:13" ht="12.75" x14ac:dyDescent="0.2">
      <c r="A1682" s="693">
        <v>1678</v>
      </c>
      <c r="B1682" s="745" t="str">
        <f t="shared" si="27"/>
        <v>Saint Helena Pound</v>
      </c>
      <c r="C1682" s="694" t="s">
        <v>3920</v>
      </c>
      <c r="D1682" s="1046"/>
      <c r="E1682" s="1046"/>
      <c r="F1682" s="1046"/>
      <c r="G1682" s="1046"/>
      <c r="H1682" s="1046"/>
      <c r="I1682" s="1046"/>
      <c r="J1682" s="1046"/>
      <c r="K1682" s="1046"/>
      <c r="L1682" s="1046"/>
      <c r="M1682" s="1046"/>
    </row>
    <row r="1683" spans="1:13" ht="12.75" x14ac:dyDescent="0.2">
      <c r="A1683" s="693">
        <v>1679</v>
      </c>
      <c r="B1683" s="745" t="str">
        <f t="shared" si="27"/>
        <v>Lao People’s Democratic Republic</v>
      </c>
      <c r="C1683" s="694" t="s">
        <v>3921</v>
      </c>
      <c r="D1683" s="1046"/>
      <c r="E1683" s="1046"/>
      <c r="F1683" s="1046"/>
      <c r="G1683" s="1046"/>
      <c r="H1683" s="1046"/>
      <c r="I1683" s="1046"/>
      <c r="J1683" s="1046"/>
      <c r="K1683" s="1046"/>
      <c r="L1683" s="1046"/>
      <c r="M1683" s="1046"/>
    </row>
    <row r="1684" spans="1:13" ht="12.75" x14ac:dyDescent="0.2">
      <c r="A1684" s="693">
        <v>1680</v>
      </c>
      <c r="B1684" s="745" t="str">
        <f t="shared" si="27"/>
        <v>Leone</v>
      </c>
      <c r="C1684" s="694" t="s">
        <v>3922</v>
      </c>
      <c r="D1684" s="1046"/>
      <c r="E1684" s="1046"/>
      <c r="F1684" s="1046"/>
      <c r="G1684" s="1046"/>
      <c r="H1684" s="1046"/>
      <c r="I1684" s="1046"/>
      <c r="J1684" s="1046"/>
      <c r="K1684" s="1046"/>
      <c r="L1684" s="1046"/>
      <c r="M1684" s="1046"/>
    </row>
    <row r="1685" spans="1:13" ht="12.75" x14ac:dyDescent="0.2">
      <c r="A1685" s="693">
        <v>1681</v>
      </c>
      <c r="B1685" s="745" t="str">
        <f t="shared" si="27"/>
        <v>Lebanon</v>
      </c>
      <c r="C1685" s="694" t="s">
        <v>3923</v>
      </c>
      <c r="D1685" s="1046"/>
      <c r="E1685" s="1046"/>
      <c r="F1685" s="1046"/>
      <c r="G1685" s="1046"/>
      <c r="H1685" s="1046"/>
      <c r="I1685" s="1046"/>
      <c r="J1685" s="1046"/>
      <c r="K1685" s="1046"/>
      <c r="L1685" s="1046"/>
      <c r="M1685" s="1046"/>
    </row>
    <row r="1686" spans="1:13" ht="12.75" x14ac:dyDescent="0.2">
      <c r="A1686" s="693">
        <v>1682</v>
      </c>
      <c r="B1686" s="745" t="str">
        <f t="shared" si="27"/>
        <v>St Lucia</v>
      </c>
      <c r="C1686" s="694" t="s">
        <v>3924</v>
      </c>
      <c r="D1686" s="1046"/>
      <c r="E1686" s="1046"/>
      <c r="F1686" s="1046"/>
      <c r="G1686" s="1046"/>
      <c r="H1686" s="1046"/>
      <c r="I1686" s="1046"/>
      <c r="J1686" s="1046"/>
      <c r="K1686" s="1046"/>
      <c r="L1686" s="1046"/>
      <c r="M1686" s="1046"/>
    </row>
    <row r="1687" spans="1:13" ht="12.75" x14ac:dyDescent="0.2">
      <c r="A1687" s="693">
        <v>1683</v>
      </c>
      <c r="B1687" s="745" t="str">
        <f t="shared" si="27"/>
        <v>Somali Shilling</v>
      </c>
      <c r="C1687" s="694" t="s">
        <v>3925</v>
      </c>
      <c r="D1687" s="1046"/>
      <c r="E1687" s="1046"/>
      <c r="F1687" s="1046"/>
      <c r="G1687" s="1046"/>
      <c r="H1687" s="1046"/>
      <c r="I1687" s="1046"/>
      <c r="J1687" s="1046"/>
      <c r="K1687" s="1046"/>
      <c r="L1687" s="1046"/>
      <c r="M1687" s="1046"/>
    </row>
    <row r="1688" spans="1:13" ht="12.75" x14ac:dyDescent="0.2">
      <c r="A1688" s="693">
        <v>1684</v>
      </c>
      <c r="B1688" s="745" t="str">
        <f t="shared" si="27"/>
        <v>Surinam Dollar</v>
      </c>
      <c r="C1688" s="694" t="s">
        <v>3926</v>
      </c>
      <c r="D1688" s="1046"/>
      <c r="E1688" s="1046"/>
      <c r="F1688" s="1046"/>
      <c r="G1688" s="1046"/>
      <c r="H1688" s="1046"/>
      <c r="I1688" s="1046"/>
      <c r="J1688" s="1046"/>
      <c r="K1688" s="1046"/>
      <c r="L1688" s="1046"/>
      <c r="M1688" s="1046"/>
    </row>
    <row r="1689" spans="1:13" ht="12.75" x14ac:dyDescent="0.2">
      <c r="A1689" s="693">
        <v>1685</v>
      </c>
      <c r="B1689" s="745" t="str">
        <f t="shared" si="27"/>
        <v>Sri Lanka</v>
      </c>
      <c r="C1689" s="694" t="s">
        <v>3927</v>
      </c>
      <c r="D1689" s="1046"/>
      <c r="E1689" s="1046"/>
      <c r="F1689" s="1046"/>
      <c r="G1689" s="1046"/>
      <c r="H1689" s="1046"/>
      <c r="I1689" s="1046"/>
      <c r="J1689" s="1046"/>
      <c r="K1689" s="1046"/>
      <c r="L1689" s="1046"/>
      <c r="M1689" s="1046"/>
    </row>
    <row r="1690" spans="1:13" ht="12.75" x14ac:dyDescent="0.2">
      <c r="A1690" s="693">
        <v>1686</v>
      </c>
      <c r="B1690" s="745" t="str">
        <f t="shared" si="27"/>
        <v>South Sudanese Pound</v>
      </c>
      <c r="C1690" s="694" t="s">
        <v>3928</v>
      </c>
      <c r="D1690" s="1046"/>
      <c r="E1690" s="1046"/>
      <c r="F1690" s="1046"/>
      <c r="G1690" s="1046"/>
      <c r="H1690" s="1046"/>
      <c r="I1690" s="1046"/>
      <c r="J1690" s="1046"/>
      <c r="K1690" s="1046"/>
      <c r="L1690" s="1046"/>
      <c r="M1690" s="1046"/>
    </row>
    <row r="1691" spans="1:13" ht="12.75" x14ac:dyDescent="0.2">
      <c r="A1691" s="693">
        <v>1687</v>
      </c>
      <c r="B1691" s="745" t="str">
        <f t="shared" si="27"/>
        <v>Liberia</v>
      </c>
      <c r="C1691" s="694" t="s">
        <v>3929</v>
      </c>
      <c r="D1691" s="1046"/>
      <c r="E1691" s="1046"/>
      <c r="F1691" s="1046"/>
      <c r="G1691" s="1046"/>
      <c r="H1691" s="1046"/>
      <c r="I1691" s="1046"/>
      <c r="J1691" s="1046"/>
      <c r="K1691" s="1046"/>
      <c r="L1691" s="1046"/>
      <c r="M1691" s="1046"/>
    </row>
    <row r="1692" spans="1:13" ht="12.75" x14ac:dyDescent="0.2">
      <c r="A1692" s="693">
        <v>1688</v>
      </c>
      <c r="B1692" s="745" t="str">
        <f t="shared" si="27"/>
        <v>Dobra</v>
      </c>
      <c r="C1692" s="694" t="s">
        <v>3930</v>
      </c>
      <c r="D1692" s="1046"/>
      <c r="E1692" s="1046"/>
      <c r="F1692" s="1046"/>
      <c r="G1692" s="1046"/>
      <c r="H1692" s="1046"/>
      <c r="I1692" s="1046"/>
      <c r="J1692" s="1046"/>
      <c r="K1692" s="1046"/>
      <c r="L1692" s="1046"/>
      <c r="M1692" s="1046"/>
    </row>
    <row r="1693" spans="1:13" ht="12.75" x14ac:dyDescent="0.2">
      <c r="A1693" s="693">
        <v>1689</v>
      </c>
      <c r="B1693" s="745" t="str">
        <f t="shared" si="27"/>
        <v>Lesotho</v>
      </c>
      <c r="C1693" s="694" t="s">
        <v>3931</v>
      </c>
      <c r="D1693" s="1046"/>
      <c r="E1693" s="1046"/>
      <c r="F1693" s="1046"/>
      <c r="G1693" s="1046"/>
      <c r="H1693" s="1046"/>
      <c r="I1693" s="1046"/>
      <c r="J1693" s="1046"/>
      <c r="K1693" s="1046"/>
      <c r="L1693" s="1046"/>
      <c r="M1693" s="1046"/>
    </row>
    <row r="1694" spans="1:13" ht="12.75" x14ac:dyDescent="0.2">
      <c r="A1694" s="693">
        <v>1690</v>
      </c>
      <c r="B1694" s="745" t="str">
        <f t="shared" si="27"/>
        <v>El Salvador Colon</v>
      </c>
      <c r="C1694" s="694" t="s">
        <v>3932</v>
      </c>
      <c r="D1694" s="1046"/>
      <c r="E1694" s="1046"/>
      <c r="F1694" s="1046"/>
      <c r="G1694" s="1046"/>
      <c r="H1694" s="1046"/>
      <c r="I1694" s="1046"/>
      <c r="J1694" s="1046"/>
      <c r="K1694" s="1046"/>
      <c r="L1694" s="1046"/>
      <c r="M1694" s="1046"/>
    </row>
    <row r="1695" spans="1:13" ht="12.75" x14ac:dyDescent="0.2">
      <c r="A1695" s="693">
        <v>1691</v>
      </c>
      <c r="B1695" s="745" t="str">
        <f t="shared" si="27"/>
        <v>Syrian Pound</v>
      </c>
      <c r="C1695" s="694" t="s">
        <v>3933</v>
      </c>
      <c r="D1695" s="1046"/>
      <c r="E1695" s="1046"/>
      <c r="F1695" s="1046"/>
      <c r="G1695" s="1046"/>
      <c r="H1695" s="1046"/>
      <c r="I1695" s="1046"/>
      <c r="J1695" s="1046"/>
      <c r="K1695" s="1046"/>
      <c r="L1695" s="1046"/>
      <c r="M1695" s="1046"/>
    </row>
    <row r="1696" spans="1:13" ht="12.75" x14ac:dyDescent="0.2">
      <c r="A1696" s="693">
        <v>1692</v>
      </c>
      <c r="B1696" s="745" t="str">
        <f t="shared" si="27"/>
        <v>Lilangeni</v>
      </c>
      <c r="C1696" s="694" t="s">
        <v>3934</v>
      </c>
      <c r="D1696" s="1046"/>
      <c r="E1696" s="1046"/>
      <c r="F1696" s="1046"/>
      <c r="G1696" s="1046"/>
      <c r="H1696" s="1046"/>
      <c r="I1696" s="1046"/>
      <c r="J1696" s="1046"/>
      <c r="K1696" s="1046"/>
      <c r="L1696" s="1046"/>
      <c r="M1696" s="1046"/>
    </row>
    <row r="1697" spans="1:13" ht="12.75" x14ac:dyDescent="0.2">
      <c r="A1697" s="693">
        <v>1693</v>
      </c>
      <c r="B1697" s="745" t="str">
        <f t="shared" si="27"/>
        <v>Baht</v>
      </c>
      <c r="C1697" s="694" t="s">
        <v>3935</v>
      </c>
      <c r="D1697" s="1046"/>
      <c r="E1697" s="1046"/>
      <c r="F1697" s="1046"/>
      <c r="G1697" s="1046"/>
      <c r="H1697" s="1046"/>
      <c r="I1697" s="1046"/>
      <c r="J1697" s="1046"/>
      <c r="K1697" s="1046"/>
      <c r="L1697" s="1046"/>
      <c r="M1697" s="1046"/>
    </row>
    <row r="1698" spans="1:13" ht="12.75" x14ac:dyDescent="0.2">
      <c r="A1698" s="693">
        <v>1694</v>
      </c>
      <c r="B1698" s="745" t="str">
        <f t="shared" si="27"/>
        <v>Libya</v>
      </c>
      <c r="C1698" s="694" t="s">
        <v>3936</v>
      </c>
      <c r="D1698" s="1046"/>
      <c r="E1698" s="1046"/>
      <c r="F1698" s="1046"/>
      <c r="G1698" s="1046"/>
      <c r="H1698" s="1046"/>
      <c r="I1698" s="1046"/>
      <c r="J1698" s="1046"/>
      <c r="K1698" s="1046"/>
      <c r="L1698" s="1046"/>
      <c r="M1698" s="1046"/>
    </row>
    <row r="1699" spans="1:13" ht="12.75" x14ac:dyDescent="0.2">
      <c r="A1699" s="693">
        <v>1695</v>
      </c>
      <c r="B1699" s="745" t="str">
        <f t="shared" si="27"/>
        <v>Somoni</v>
      </c>
      <c r="C1699" s="694" t="s">
        <v>3937</v>
      </c>
      <c r="D1699" s="1046"/>
      <c r="E1699" s="1046"/>
      <c r="F1699" s="1046"/>
      <c r="G1699" s="1046"/>
      <c r="H1699" s="1046"/>
      <c r="I1699" s="1046"/>
      <c r="J1699" s="1046"/>
      <c r="K1699" s="1046"/>
      <c r="L1699" s="1046"/>
      <c r="M1699" s="1046"/>
    </row>
    <row r="1700" spans="1:13" ht="12.75" x14ac:dyDescent="0.2">
      <c r="A1700" s="693">
        <v>1696</v>
      </c>
      <c r="B1700" s="745" t="str">
        <f t="shared" si="27"/>
        <v>Morocco</v>
      </c>
      <c r="C1700" s="694" t="s">
        <v>3938</v>
      </c>
      <c r="D1700" s="1046"/>
      <c r="E1700" s="1046"/>
      <c r="F1700" s="1046"/>
      <c r="G1700" s="1046"/>
      <c r="H1700" s="1046"/>
      <c r="I1700" s="1046"/>
      <c r="J1700" s="1046"/>
      <c r="K1700" s="1046"/>
      <c r="L1700" s="1046"/>
      <c r="M1700" s="1046"/>
    </row>
    <row r="1701" spans="1:13" ht="12.75" x14ac:dyDescent="0.2">
      <c r="A1701" s="693">
        <v>1697</v>
      </c>
      <c r="B1701" s="745" t="str">
        <f t="shared" si="27"/>
        <v>Turkmenistan New Manat</v>
      </c>
      <c r="C1701" s="694" t="s">
        <v>3939</v>
      </c>
      <c r="D1701" s="1046"/>
      <c r="E1701" s="1046"/>
      <c r="F1701" s="1046"/>
      <c r="G1701" s="1046"/>
      <c r="H1701" s="1046"/>
      <c r="I1701" s="1046"/>
      <c r="J1701" s="1046"/>
      <c r="K1701" s="1046"/>
      <c r="L1701" s="1046"/>
      <c r="M1701" s="1046"/>
    </row>
    <row r="1702" spans="1:13" ht="12.75" x14ac:dyDescent="0.2">
      <c r="A1702" s="693">
        <v>1698</v>
      </c>
      <c r="B1702" s="745" t="str">
        <f t="shared" si="27"/>
        <v>Monaco</v>
      </c>
      <c r="C1702" s="694" t="s">
        <v>3940</v>
      </c>
      <c r="D1702" s="1046"/>
      <c r="E1702" s="1046"/>
      <c r="F1702" s="1046"/>
      <c r="G1702" s="1046"/>
      <c r="H1702" s="1046"/>
      <c r="I1702" s="1046"/>
      <c r="J1702" s="1046"/>
      <c r="K1702" s="1046"/>
      <c r="L1702" s="1046"/>
      <c r="M1702" s="1046"/>
    </row>
    <row r="1703" spans="1:13" ht="12.75" x14ac:dyDescent="0.2">
      <c r="A1703" s="693">
        <v>1699</v>
      </c>
      <c r="B1703" s="745" t="str">
        <f t="shared" si="27"/>
        <v>Tunisian Dinar</v>
      </c>
      <c r="C1703" s="694" t="s">
        <v>3941</v>
      </c>
      <c r="D1703" s="1046"/>
      <c r="E1703" s="1046"/>
      <c r="F1703" s="1046"/>
      <c r="G1703" s="1046"/>
      <c r="H1703" s="1046"/>
      <c r="I1703" s="1046"/>
      <c r="J1703" s="1046"/>
      <c r="K1703" s="1046"/>
      <c r="L1703" s="1046"/>
      <c r="M1703" s="1046"/>
    </row>
    <row r="1704" spans="1:13" ht="12.75" x14ac:dyDescent="0.2">
      <c r="A1704" s="693">
        <v>1700</v>
      </c>
      <c r="B1704" s="745" t="str">
        <f t="shared" si="27"/>
        <v>Moldova, Republic of</v>
      </c>
      <c r="C1704" s="694" t="s">
        <v>3942</v>
      </c>
      <c r="D1704" s="1046"/>
      <c r="E1704" s="1046"/>
      <c r="F1704" s="1046"/>
      <c r="G1704" s="1046"/>
      <c r="H1704" s="1046"/>
      <c r="I1704" s="1046"/>
      <c r="J1704" s="1046"/>
      <c r="K1704" s="1046"/>
      <c r="L1704" s="1046"/>
      <c r="M1704" s="1046"/>
    </row>
    <row r="1705" spans="1:13" ht="12.75" x14ac:dyDescent="0.2">
      <c r="A1705" s="693">
        <v>1701</v>
      </c>
      <c r="B1705" s="745" t="str">
        <f t="shared" si="27"/>
        <v>Pa’anga</v>
      </c>
      <c r="C1705" s="694" t="s">
        <v>3943</v>
      </c>
      <c r="D1705" s="1046"/>
      <c r="E1705" s="1046"/>
      <c r="F1705" s="1046"/>
      <c r="G1705" s="1046"/>
      <c r="H1705" s="1046"/>
      <c r="I1705" s="1046"/>
      <c r="J1705" s="1046"/>
      <c r="K1705" s="1046"/>
      <c r="L1705" s="1046"/>
      <c r="M1705" s="1046"/>
    </row>
    <row r="1706" spans="1:13" ht="12.75" x14ac:dyDescent="0.2">
      <c r="A1706" s="693">
        <v>1702</v>
      </c>
      <c r="B1706" s="745" t="str">
        <f t="shared" si="27"/>
        <v>Montenegro</v>
      </c>
      <c r="C1706" s="694" t="s">
        <v>3944</v>
      </c>
      <c r="D1706" s="1046"/>
      <c r="E1706" s="1046"/>
      <c r="F1706" s="1046"/>
      <c r="G1706" s="1046"/>
      <c r="H1706" s="1046"/>
      <c r="I1706" s="1046"/>
      <c r="J1706" s="1046"/>
      <c r="K1706" s="1046"/>
      <c r="L1706" s="1046"/>
      <c r="M1706" s="1046"/>
    </row>
    <row r="1707" spans="1:13" ht="12.75" x14ac:dyDescent="0.2">
      <c r="A1707" s="693">
        <v>1703</v>
      </c>
      <c r="B1707" s="745" t="str">
        <f t="shared" si="27"/>
        <v>Turkish Lira</v>
      </c>
      <c r="C1707" s="694" t="s">
        <v>3945</v>
      </c>
      <c r="D1707" s="1046"/>
      <c r="E1707" s="1046"/>
      <c r="F1707" s="1046"/>
      <c r="G1707" s="1046"/>
      <c r="H1707" s="1046"/>
      <c r="I1707" s="1046"/>
      <c r="J1707" s="1046"/>
      <c r="K1707" s="1046"/>
      <c r="L1707" s="1046"/>
      <c r="M1707" s="1046"/>
    </row>
    <row r="1708" spans="1:13" ht="12.75" x14ac:dyDescent="0.2">
      <c r="A1708" s="693">
        <v>1704</v>
      </c>
      <c r="B1708" s="745" t="str">
        <f t="shared" si="27"/>
        <v>Saint Martin (French part)</v>
      </c>
      <c r="C1708" s="694" t="s">
        <v>3946</v>
      </c>
      <c r="D1708" s="1046"/>
      <c r="E1708" s="1046"/>
      <c r="F1708" s="1046"/>
      <c r="G1708" s="1046"/>
      <c r="H1708" s="1046"/>
      <c r="I1708" s="1046"/>
      <c r="J1708" s="1046"/>
      <c r="K1708" s="1046"/>
      <c r="L1708" s="1046"/>
      <c r="M1708" s="1046"/>
    </row>
    <row r="1709" spans="1:13" ht="12.75" x14ac:dyDescent="0.2">
      <c r="A1709" s="693">
        <v>1705</v>
      </c>
      <c r="B1709" s="745" t="str">
        <f t="shared" si="27"/>
        <v>Trinidad and Tobago Dollar</v>
      </c>
      <c r="C1709" s="694" t="s">
        <v>3947</v>
      </c>
      <c r="D1709" s="1046"/>
      <c r="E1709" s="1046"/>
      <c r="F1709" s="1046"/>
      <c r="G1709" s="1046"/>
      <c r="H1709" s="1046"/>
      <c r="I1709" s="1046"/>
      <c r="J1709" s="1046"/>
      <c r="K1709" s="1046"/>
      <c r="L1709" s="1046"/>
      <c r="M1709" s="1046"/>
    </row>
    <row r="1710" spans="1:13" ht="12.75" x14ac:dyDescent="0.2">
      <c r="A1710" s="693">
        <v>1706</v>
      </c>
      <c r="B1710" s="745" t="str">
        <f t="shared" si="27"/>
        <v>Madagascar</v>
      </c>
      <c r="C1710" s="694" t="s">
        <v>3948</v>
      </c>
      <c r="D1710" s="1046"/>
      <c r="E1710" s="1046"/>
      <c r="F1710" s="1046"/>
      <c r="G1710" s="1046"/>
      <c r="H1710" s="1046"/>
      <c r="I1710" s="1046"/>
      <c r="J1710" s="1046"/>
      <c r="K1710" s="1046"/>
      <c r="L1710" s="1046"/>
      <c r="M1710" s="1046"/>
    </row>
    <row r="1711" spans="1:13" ht="12.75" x14ac:dyDescent="0.2">
      <c r="A1711" s="693">
        <v>1707</v>
      </c>
      <c r="B1711" s="745" t="str">
        <f t="shared" si="27"/>
        <v>New Taiwan Dollar</v>
      </c>
      <c r="C1711" s="694" t="s">
        <v>3949</v>
      </c>
      <c r="D1711" s="1046"/>
      <c r="E1711" s="1046"/>
      <c r="F1711" s="1046"/>
      <c r="G1711" s="1046"/>
      <c r="H1711" s="1046"/>
      <c r="I1711" s="1046"/>
      <c r="J1711" s="1046"/>
      <c r="K1711" s="1046"/>
      <c r="L1711" s="1046"/>
      <c r="M1711" s="1046"/>
    </row>
    <row r="1712" spans="1:13" ht="12.75" x14ac:dyDescent="0.2">
      <c r="A1712" s="693">
        <v>1708</v>
      </c>
      <c r="B1712" s="745" t="str">
        <f t="shared" si="27"/>
        <v>Marshall Islands</v>
      </c>
      <c r="C1712" s="694" t="s">
        <v>3950</v>
      </c>
      <c r="D1712" s="1046"/>
      <c r="E1712" s="1046"/>
      <c r="F1712" s="1046"/>
      <c r="G1712" s="1046"/>
      <c r="H1712" s="1046"/>
      <c r="I1712" s="1046"/>
      <c r="J1712" s="1046"/>
      <c r="K1712" s="1046"/>
      <c r="L1712" s="1046"/>
      <c r="M1712" s="1046"/>
    </row>
    <row r="1713" spans="1:13" ht="12.75" x14ac:dyDescent="0.2">
      <c r="A1713" s="693">
        <v>1709</v>
      </c>
      <c r="B1713" s="745" t="str">
        <f t="shared" si="27"/>
        <v>Tanzanian Shilling</v>
      </c>
      <c r="C1713" s="694" t="s">
        <v>3951</v>
      </c>
      <c r="D1713" s="1046"/>
      <c r="E1713" s="1046"/>
      <c r="F1713" s="1046"/>
      <c r="G1713" s="1046"/>
      <c r="H1713" s="1046"/>
      <c r="I1713" s="1046"/>
      <c r="J1713" s="1046"/>
      <c r="K1713" s="1046"/>
      <c r="L1713" s="1046"/>
      <c r="M1713" s="1046"/>
    </row>
    <row r="1714" spans="1:13" ht="12.75" x14ac:dyDescent="0.2">
      <c r="A1714" s="693">
        <v>1710</v>
      </c>
      <c r="B1714" s="745" t="str">
        <f t="shared" si="27"/>
        <v>North Macedonia</v>
      </c>
      <c r="C1714" s="694" t="s">
        <v>3952</v>
      </c>
      <c r="D1714" s="1046"/>
      <c r="E1714" s="1046"/>
      <c r="F1714" s="1046"/>
      <c r="G1714" s="1046"/>
      <c r="H1714" s="1046"/>
      <c r="I1714" s="1046"/>
      <c r="J1714" s="1046"/>
      <c r="K1714" s="1046"/>
      <c r="L1714" s="1046"/>
      <c r="M1714" s="1046"/>
    </row>
    <row r="1715" spans="1:13" ht="12.75" x14ac:dyDescent="0.2">
      <c r="A1715" s="693">
        <v>1711</v>
      </c>
      <c r="B1715" s="745" t="str">
        <f t="shared" si="27"/>
        <v>Hryvnia</v>
      </c>
      <c r="C1715" s="694" t="s">
        <v>3953</v>
      </c>
      <c r="D1715" s="1046"/>
      <c r="E1715" s="1046"/>
      <c r="F1715" s="1046"/>
      <c r="G1715" s="1046"/>
      <c r="H1715" s="1046"/>
      <c r="I1715" s="1046"/>
      <c r="J1715" s="1046"/>
      <c r="K1715" s="1046"/>
      <c r="L1715" s="1046"/>
      <c r="M1715" s="1046"/>
    </row>
    <row r="1716" spans="1:13" ht="12.75" x14ac:dyDescent="0.2">
      <c r="A1716" s="693">
        <v>1712</v>
      </c>
      <c r="B1716" s="745" t="str">
        <f t="shared" si="27"/>
        <v>Mali</v>
      </c>
      <c r="C1716" s="694" t="s">
        <v>3954</v>
      </c>
      <c r="D1716" s="1046"/>
      <c r="E1716" s="1046"/>
      <c r="F1716" s="1046"/>
      <c r="G1716" s="1046"/>
      <c r="H1716" s="1046"/>
      <c r="I1716" s="1046"/>
      <c r="J1716" s="1046"/>
      <c r="K1716" s="1046"/>
      <c r="L1716" s="1046"/>
      <c r="M1716" s="1046"/>
    </row>
    <row r="1717" spans="1:13" ht="12.75" x14ac:dyDescent="0.2">
      <c r="A1717" s="693">
        <v>1713</v>
      </c>
      <c r="B1717" s="745" t="str">
        <f t="shared" si="27"/>
        <v>Uganda Shilling</v>
      </c>
      <c r="C1717" s="694" t="s">
        <v>3955</v>
      </c>
      <c r="D1717" s="1046"/>
      <c r="E1717" s="1046"/>
      <c r="F1717" s="1046"/>
      <c r="G1717" s="1046"/>
      <c r="H1717" s="1046"/>
      <c r="I1717" s="1046"/>
      <c r="J1717" s="1046"/>
      <c r="K1717" s="1046"/>
      <c r="L1717" s="1046"/>
      <c r="M1717" s="1046"/>
    </row>
    <row r="1718" spans="1:13" ht="12.75" x14ac:dyDescent="0.2">
      <c r="A1718" s="693">
        <v>1714</v>
      </c>
      <c r="B1718" s="745" t="str">
        <f t="shared" si="27"/>
        <v>Myanmar</v>
      </c>
      <c r="C1718" s="694" t="s">
        <v>3956</v>
      </c>
      <c r="D1718" s="1046"/>
      <c r="E1718" s="1046"/>
      <c r="F1718" s="1046"/>
      <c r="G1718" s="1046"/>
      <c r="H1718" s="1046"/>
      <c r="I1718" s="1046"/>
      <c r="J1718" s="1046"/>
      <c r="K1718" s="1046"/>
      <c r="L1718" s="1046"/>
      <c r="M1718" s="1046"/>
    </row>
    <row r="1719" spans="1:13" ht="12.75" x14ac:dyDescent="0.2">
      <c r="A1719" s="693">
        <v>1715</v>
      </c>
      <c r="B1719" s="745" t="str">
        <f t="shared" si="27"/>
        <v>US Dollar</v>
      </c>
      <c r="C1719" s="694" t="s">
        <v>3957</v>
      </c>
      <c r="D1719" s="1046"/>
      <c r="E1719" s="1046"/>
      <c r="F1719" s="1046"/>
      <c r="G1719" s="1046"/>
      <c r="H1719" s="1046"/>
      <c r="I1719" s="1046"/>
      <c r="J1719" s="1046"/>
      <c r="K1719" s="1046"/>
      <c r="L1719" s="1046"/>
      <c r="M1719" s="1046"/>
    </row>
    <row r="1720" spans="1:13" ht="12.75" x14ac:dyDescent="0.2">
      <c r="A1720" s="693">
        <v>1716</v>
      </c>
      <c r="B1720" s="745" t="str">
        <f t="shared" si="27"/>
        <v>Mongolia</v>
      </c>
      <c r="C1720" s="694" t="s">
        <v>3958</v>
      </c>
      <c r="D1720" s="1046"/>
      <c r="E1720" s="1046"/>
      <c r="F1720" s="1046"/>
      <c r="G1720" s="1046"/>
      <c r="H1720" s="1046"/>
      <c r="I1720" s="1046"/>
      <c r="J1720" s="1046"/>
      <c r="K1720" s="1046"/>
      <c r="L1720" s="1046"/>
      <c r="M1720" s="1046"/>
    </row>
    <row r="1721" spans="1:13" ht="12.75" x14ac:dyDescent="0.2">
      <c r="A1721" s="693">
        <v>1717</v>
      </c>
      <c r="B1721" s="745" t="str">
        <f t="shared" si="27"/>
        <v>Uruguay Peso en Unidades Indexadas (UI)</v>
      </c>
      <c r="C1721" s="694" t="s">
        <v>3959</v>
      </c>
      <c r="D1721" s="1046"/>
      <c r="E1721" s="1046"/>
      <c r="F1721" s="1046"/>
      <c r="G1721" s="1046"/>
      <c r="H1721" s="1046"/>
      <c r="I1721" s="1046"/>
      <c r="J1721" s="1046"/>
      <c r="K1721" s="1046"/>
      <c r="L1721" s="1046"/>
      <c r="M1721" s="1046"/>
    </row>
    <row r="1722" spans="1:13" ht="12.75" x14ac:dyDescent="0.2">
      <c r="A1722" s="693">
        <v>1718</v>
      </c>
      <c r="B1722" s="745" t="str">
        <f t="shared" si="27"/>
        <v>Macao</v>
      </c>
      <c r="C1722" s="694" t="s">
        <v>3960</v>
      </c>
      <c r="D1722" s="1046"/>
      <c r="E1722" s="1046"/>
      <c r="F1722" s="1046"/>
      <c r="G1722" s="1046"/>
      <c r="H1722" s="1046"/>
      <c r="I1722" s="1046"/>
      <c r="J1722" s="1046"/>
      <c r="K1722" s="1046"/>
      <c r="L1722" s="1046"/>
      <c r="M1722" s="1046"/>
    </row>
    <row r="1723" spans="1:13" ht="12.75" x14ac:dyDescent="0.2">
      <c r="A1723" s="693">
        <v>1719</v>
      </c>
      <c r="B1723" s="745" t="str">
        <f t="shared" si="27"/>
        <v>Peso Uruguayo</v>
      </c>
      <c r="C1723" s="694" t="s">
        <v>3961</v>
      </c>
      <c r="D1723" s="1046"/>
      <c r="E1723" s="1046"/>
      <c r="F1723" s="1046"/>
      <c r="G1723" s="1046"/>
      <c r="H1723" s="1046"/>
      <c r="I1723" s="1046"/>
      <c r="J1723" s="1046"/>
      <c r="K1723" s="1046"/>
      <c r="L1723" s="1046"/>
      <c r="M1723" s="1046"/>
    </row>
    <row r="1724" spans="1:13" ht="12.75" x14ac:dyDescent="0.2">
      <c r="A1724" s="693">
        <v>1720</v>
      </c>
      <c r="B1724" s="745" t="str">
        <f t="shared" si="27"/>
        <v>Northern Mariana Islands</v>
      </c>
      <c r="C1724" s="694" t="s">
        <v>3962</v>
      </c>
      <c r="D1724" s="1046"/>
      <c r="E1724" s="1046"/>
      <c r="F1724" s="1046"/>
      <c r="G1724" s="1046"/>
      <c r="H1724" s="1046"/>
      <c r="I1724" s="1046"/>
      <c r="J1724" s="1046"/>
      <c r="K1724" s="1046"/>
      <c r="L1724" s="1046"/>
      <c r="M1724" s="1046"/>
    </row>
    <row r="1725" spans="1:13" ht="12.75" x14ac:dyDescent="0.2">
      <c r="A1725" s="693">
        <v>1721</v>
      </c>
      <c r="B1725" s="745" t="str">
        <f t="shared" si="27"/>
        <v>Unidad Previsional</v>
      </c>
      <c r="C1725" s="694" t="s">
        <v>3963</v>
      </c>
      <c r="D1725" s="1046"/>
      <c r="E1725" s="1046"/>
      <c r="F1725" s="1046"/>
      <c r="G1725" s="1046"/>
      <c r="H1725" s="1046"/>
      <c r="I1725" s="1046"/>
      <c r="J1725" s="1046"/>
      <c r="K1725" s="1046"/>
      <c r="L1725" s="1046"/>
      <c r="M1725" s="1046"/>
    </row>
    <row r="1726" spans="1:13" ht="12.75" x14ac:dyDescent="0.2">
      <c r="A1726" s="693">
        <v>1722</v>
      </c>
      <c r="B1726" s="745" t="str">
        <f t="shared" si="27"/>
        <v>Martinique</v>
      </c>
      <c r="C1726" s="694" t="s">
        <v>3964</v>
      </c>
      <c r="D1726" s="1046"/>
      <c r="E1726" s="1046"/>
      <c r="F1726" s="1046"/>
      <c r="G1726" s="1046"/>
      <c r="H1726" s="1046"/>
      <c r="I1726" s="1046"/>
      <c r="J1726" s="1046"/>
      <c r="K1726" s="1046"/>
      <c r="L1726" s="1046"/>
      <c r="M1726" s="1046"/>
    </row>
    <row r="1727" spans="1:13" ht="12.75" x14ac:dyDescent="0.2">
      <c r="A1727" s="693">
        <v>1723</v>
      </c>
      <c r="B1727" s="745" t="str">
        <f t="shared" si="27"/>
        <v>Uzbekistan Sum</v>
      </c>
      <c r="C1727" s="694" t="s">
        <v>3965</v>
      </c>
      <c r="D1727" s="1046"/>
      <c r="E1727" s="1046"/>
      <c r="F1727" s="1046"/>
      <c r="G1727" s="1046"/>
      <c r="H1727" s="1046"/>
      <c r="I1727" s="1046"/>
      <c r="J1727" s="1046"/>
      <c r="K1727" s="1046"/>
      <c r="L1727" s="1046"/>
      <c r="M1727" s="1046"/>
    </row>
    <row r="1728" spans="1:13" ht="12.75" x14ac:dyDescent="0.2">
      <c r="A1728" s="693">
        <v>1724</v>
      </c>
      <c r="B1728" s="745" t="str">
        <f t="shared" si="27"/>
        <v>Mauritania</v>
      </c>
      <c r="C1728" s="694" t="s">
        <v>3966</v>
      </c>
      <c r="D1728" s="1046"/>
      <c r="E1728" s="1046"/>
      <c r="F1728" s="1046"/>
      <c r="G1728" s="1046"/>
      <c r="H1728" s="1046"/>
      <c r="I1728" s="1046"/>
      <c r="J1728" s="1046"/>
      <c r="K1728" s="1046"/>
      <c r="L1728" s="1046"/>
      <c r="M1728" s="1046"/>
    </row>
    <row r="1729" spans="1:13" ht="12.75" x14ac:dyDescent="0.2">
      <c r="A1729" s="693">
        <v>1725</v>
      </c>
      <c r="B1729" s="745" t="str">
        <f t="shared" si="27"/>
        <v>Bolívar Soberano</v>
      </c>
      <c r="C1729" s="694" t="s">
        <v>3967</v>
      </c>
      <c r="D1729" s="1046"/>
      <c r="E1729" s="1046"/>
      <c r="F1729" s="1046"/>
      <c r="G1729" s="1046"/>
      <c r="H1729" s="1046"/>
      <c r="I1729" s="1046"/>
      <c r="J1729" s="1046"/>
      <c r="K1729" s="1046"/>
      <c r="L1729" s="1046"/>
      <c r="M1729" s="1046"/>
    </row>
    <row r="1730" spans="1:13" ht="12.75" x14ac:dyDescent="0.2">
      <c r="A1730" s="693">
        <v>1726</v>
      </c>
      <c r="B1730" s="745" t="str">
        <f t="shared" si="27"/>
        <v>Montserrat</v>
      </c>
      <c r="C1730" s="694" t="s">
        <v>3968</v>
      </c>
      <c r="D1730" s="1046"/>
      <c r="E1730" s="1046"/>
      <c r="F1730" s="1046"/>
      <c r="G1730" s="1046"/>
      <c r="H1730" s="1046"/>
      <c r="I1730" s="1046"/>
      <c r="J1730" s="1046"/>
      <c r="K1730" s="1046"/>
      <c r="L1730" s="1046"/>
      <c r="M1730" s="1046"/>
    </row>
    <row r="1731" spans="1:13" ht="12.75" x14ac:dyDescent="0.2">
      <c r="A1731" s="693">
        <v>1727</v>
      </c>
      <c r="B1731" s="745" t="str">
        <f t="shared" si="27"/>
        <v>Bolivar Soberano</v>
      </c>
      <c r="C1731" s="694" t="s">
        <v>3969</v>
      </c>
      <c r="D1731" s="1046"/>
      <c r="E1731" s="1046"/>
      <c r="F1731" s="1046"/>
      <c r="G1731" s="1046"/>
      <c r="H1731" s="1046"/>
      <c r="I1731" s="1046"/>
      <c r="J1731" s="1046"/>
      <c r="K1731" s="1046"/>
      <c r="L1731" s="1046"/>
      <c r="M1731" s="1046"/>
    </row>
    <row r="1732" spans="1:13" ht="12.75" x14ac:dyDescent="0.2">
      <c r="A1732" s="693">
        <v>1728</v>
      </c>
      <c r="B1732" s="745" t="str">
        <f t="shared" si="27"/>
        <v>Dong</v>
      </c>
      <c r="C1732" s="694" t="s">
        <v>3970</v>
      </c>
      <c r="D1732" s="1046"/>
      <c r="E1732" s="1046"/>
      <c r="F1732" s="1046"/>
      <c r="G1732" s="1046"/>
      <c r="H1732" s="1046"/>
      <c r="I1732" s="1046"/>
      <c r="J1732" s="1046"/>
      <c r="K1732" s="1046"/>
      <c r="L1732" s="1046"/>
      <c r="M1732" s="1046"/>
    </row>
    <row r="1733" spans="1:13" ht="12.75" x14ac:dyDescent="0.2">
      <c r="A1733" s="693">
        <v>1729</v>
      </c>
      <c r="B1733" s="745" t="str">
        <f t="shared" si="27"/>
        <v>Mauritius</v>
      </c>
      <c r="C1733" s="694" t="s">
        <v>3971</v>
      </c>
      <c r="D1733" s="1046"/>
      <c r="E1733" s="1046"/>
      <c r="F1733" s="1046"/>
      <c r="G1733" s="1046"/>
      <c r="H1733" s="1046"/>
      <c r="I1733" s="1046"/>
      <c r="J1733" s="1046"/>
      <c r="K1733" s="1046"/>
      <c r="L1733" s="1046"/>
      <c r="M1733" s="1046"/>
    </row>
    <row r="1734" spans="1:13" ht="12.75" x14ac:dyDescent="0.2">
      <c r="A1734" s="693">
        <v>1730</v>
      </c>
      <c r="B1734" s="745" t="str">
        <f t="shared" si="27"/>
        <v>Vatu</v>
      </c>
      <c r="C1734" s="694" t="s">
        <v>3972</v>
      </c>
      <c r="D1734" s="1046"/>
      <c r="E1734" s="1046"/>
      <c r="F1734" s="1046"/>
      <c r="G1734" s="1046"/>
      <c r="H1734" s="1046"/>
      <c r="I1734" s="1046"/>
      <c r="J1734" s="1046"/>
      <c r="K1734" s="1046"/>
      <c r="L1734" s="1046"/>
      <c r="M1734" s="1046"/>
    </row>
    <row r="1735" spans="1:13" ht="12.75" x14ac:dyDescent="0.2">
      <c r="A1735" s="693">
        <v>1731</v>
      </c>
      <c r="B1735" s="745" t="str">
        <f t="shared" si="27"/>
        <v>Maldives</v>
      </c>
      <c r="C1735" s="694" t="s">
        <v>3973</v>
      </c>
      <c r="D1735" s="1046"/>
      <c r="E1735" s="1046"/>
      <c r="F1735" s="1046"/>
      <c r="G1735" s="1046"/>
      <c r="H1735" s="1046"/>
      <c r="I1735" s="1046"/>
      <c r="J1735" s="1046"/>
      <c r="K1735" s="1046"/>
      <c r="L1735" s="1046"/>
      <c r="M1735" s="1046"/>
    </row>
    <row r="1736" spans="1:13" ht="12.75" x14ac:dyDescent="0.2">
      <c r="A1736" s="693">
        <v>1732</v>
      </c>
      <c r="B1736" s="745" t="str">
        <f t="shared" si="27"/>
        <v>Tala</v>
      </c>
      <c r="C1736" s="694" t="s">
        <v>3974</v>
      </c>
      <c r="D1736" s="1046"/>
      <c r="E1736" s="1046"/>
      <c r="F1736" s="1046"/>
      <c r="G1736" s="1046"/>
      <c r="H1736" s="1046"/>
      <c r="I1736" s="1046"/>
      <c r="J1736" s="1046"/>
      <c r="K1736" s="1046"/>
      <c r="L1736" s="1046"/>
      <c r="M1736" s="1046"/>
    </row>
    <row r="1737" spans="1:13" ht="12.75" x14ac:dyDescent="0.2">
      <c r="A1737" s="693">
        <v>1733</v>
      </c>
      <c r="B1737" s="745" t="str">
        <f t="shared" si="27"/>
        <v>Malawi</v>
      </c>
      <c r="C1737" s="694" t="s">
        <v>3975</v>
      </c>
      <c r="D1737" s="1046"/>
      <c r="E1737" s="1046"/>
      <c r="F1737" s="1046"/>
      <c r="G1737" s="1046"/>
      <c r="H1737" s="1046"/>
      <c r="I1737" s="1046"/>
      <c r="J1737" s="1046"/>
      <c r="K1737" s="1046"/>
      <c r="L1737" s="1046"/>
      <c r="M1737" s="1046"/>
    </row>
    <row r="1738" spans="1:13" ht="12.75" x14ac:dyDescent="0.2">
      <c r="A1738" s="693">
        <v>1734</v>
      </c>
      <c r="B1738" s="745" t="str">
        <f t="shared" si="27"/>
        <v>CFA Franc BEAC</v>
      </c>
      <c r="C1738" s="694" t="s">
        <v>3976</v>
      </c>
      <c r="D1738" s="1046"/>
      <c r="E1738" s="1046"/>
      <c r="F1738" s="1046"/>
      <c r="G1738" s="1046"/>
      <c r="H1738" s="1046"/>
      <c r="I1738" s="1046"/>
      <c r="J1738" s="1046"/>
      <c r="K1738" s="1046"/>
      <c r="L1738" s="1046"/>
      <c r="M1738" s="1046"/>
    </row>
    <row r="1739" spans="1:13" ht="12.75" x14ac:dyDescent="0.2">
      <c r="A1739" s="693">
        <v>1735</v>
      </c>
      <c r="B1739" s="745" t="str">
        <f t="shared" ref="B1739:B1802" si="28">IFERROR(INDEX(C1739:M1739,$A$4-2),$C1739)</f>
        <v>Mexico</v>
      </c>
      <c r="C1739" s="694" t="s">
        <v>3977</v>
      </c>
      <c r="D1739" s="1046"/>
      <c r="E1739" s="1046"/>
      <c r="F1739" s="1046"/>
      <c r="G1739" s="1046"/>
      <c r="H1739" s="1046"/>
      <c r="I1739" s="1046"/>
      <c r="J1739" s="1046"/>
      <c r="K1739" s="1046"/>
      <c r="L1739" s="1046"/>
      <c r="M1739" s="1046"/>
    </row>
    <row r="1740" spans="1:13" ht="12.75" x14ac:dyDescent="0.2">
      <c r="A1740" s="693">
        <v>1736</v>
      </c>
      <c r="B1740" s="745" t="str">
        <f t="shared" si="28"/>
        <v>East Caribbean Dollar</v>
      </c>
      <c r="C1740" s="694" t="s">
        <v>3978</v>
      </c>
      <c r="D1740" s="1046"/>
      <c r="E1740" s="1046"/>
      <c r="F1740" s="1046"/>
      <c r="G1740" s="1046"/>
      <c r="H1740" s="1046"/>
      <c r="I1740" s="1046"/>
      <c r="J1740" s="1046"/>
      <c r="K1740" s="1046"/>
      <c r="L1740" s="1046"/>
      <c r="M1740" s="1046"/>
    </row>
    <row r="1741" spans="1:13" ht="12.75" x14ac:dyDescent="0.2">
      <c r="A1741" s="693">
        <v>1737</v>
      </c>
      <c r="B1741" s="745" t="str">
        <f t="shared" si="28"/>
        <v>Malaysia</v>
      </c>
      <c r="C1741" s="694" t="s">
        <v>3979</v>
      </c>
      <c r="D1741" s="1046"/>
      <c r="E1741" s="1046"/>
      <c r="F1741" s="1046"/>
      <c r="G1741" s="1046"/>
      <c r="H1741" s="1046"/>
      <c r="I1741" s="1046"/>
      <c r="J1741" s="1046"/>
      <c r="K1741" s="1046"/>
      <c r="L1741" s="1046"/>
      <c r="M1741" s="1046"/>
    </row>
    <row r="1742" spans="1:13" ht="12.75" x14ac:dyDescent="0.2">
      <c r="A1742" s="693">
        <v>1738</v>
      </c>
      <c r="B1742" s="745" t="str">
        <f t="shared" si="28"/>
        <v>SDR (Special Drawing Right)</v>
      </c>
      <c r="C1742" s="694" t="s">
        <v>3980</v>
      </c>
      <c r="D1742" s="1046"/>
      <c r="E1742" s="1046"/>
      <c r="F1742" s="1046"/>
      <c r="G1742" s="1046"/>
      <c r="H1742" s="1046"/>
      <c r="I1742" s="1046"/>
      <c r="J1742" s="1046"/>
      <c r="K1742" s="1046"/>
      <c r="L1742" s="1046"/>
      <c r="M1742" s="1046"/>
    </row>
    <row r="1743" spans="1:13" ht="12.75" x14ac:dyDescent="0.2">
      <c r="A1743" s="693">
        <v>1739</v>
      </c>
      <c r="B1743" s="745" t="str">
        <f t="shared" si="28"/>
        <v>Mozambique</v>
      </c>
      <c r="C1743" s="694" t="s">
        <v>3981</v>
      </c>
      <c r="D1743" s="1046"/>
      <c r="E1743" s="1046"/>
      <c r="F1743" s="1046"/>
      <c r="G1743" s="1046"/>
      <c r="H1743" s="1046"/>
      <c r="I1743" s="1046"/>
      <c r="J1743" s="1046"/>
      <c r="K1743" s="1046"/>
      <c r="L1743" s="1046"/>
      <c r="M1743" s="1046"/>
    </row>
    <row r="1744" spans="1:13" ht="12.75" x14ac:dyDescent="0.2">
      <c r="A1744" s="693">
        <v>1740</v>
      </c>
      <c r="B1744" s="745" t="str">
        <f t="shared" si="28"/>
        <v>CFA Franc BCEAO</v>
      </c>
      <c r="C1744" s="694" t="s">
        <v>3982</v>
      </c>
      <c r="D1744" s="1046"/>
      <c r="E1744" s="1046"/>
      <c r="F1744" s="1046"/>
      <c r="G1744" s="1046"/>
      <c r="H1744" s="1046"/>
      <c r="I1744" s="1046"/>
      <c r="J1744" s="1046"/>
      <c r="K1744" s="1046"/>
      <c r="L1744" s="1046"/>
      <c r="M1744" s="1046"/>
    </row>
    <row r="1745" spans="1:13" ht="12.75" x14ac:dyDescent="0.2">
      <c r="A1745" s="693">
        <v>1741</v>
      </c>
      <c r="B1745" s="745" t="str">
        <f t="shared" si="28"/>
        <v>Namibia</v>
      </c>
      <c r="C1745" s="694" t="s">
        <v>3983</v>
      </c>
      <c r="D1745" s="1046"/>
      <c r="E1745" s="1046"/>
      <c r="F1745" s="1046"/>
      <c r="G1745" s="1046"/>
      <c r="H1745" s="1046"/>
      <c r="I1745" s="1046"/>
      <c r="J1745" s="1046"/>
      <c r="K1745" s="1046"/>
      <c r="L1745" s="1046"/>
      <c r="M1745" s="1046"/>
    </row>
    <row r="1746" spans="1:13" ht="12.75" x14ac:dyDescent="0.2">
      <c r="A1746" s="693">
        <v>1742</v>
      </c>
      <c r="B1746" s="745" t="str">
        <f t="shared" si="28"/>
        <v>CFP Franc</v>
      </c>
      <c r="C1746" s="694" t="s">
        <v>3984</v>
      </c>
      <c r="D1746" s="1046"/>
      <c r="E1746" s="1046"/>
      <c r="F1746" s="1046"/>
      <c r="G1746" s="1046"/>
      <c r="H1746" s="1046"/>
      <c r="I1746" s="1046"/>
      <c r="J1746" s="1046"/>
      <c r="K1746" s="1046"/>
      <c r="L1746" s="1046"/>
      <c r="M1746" s="1046"/>
    </row>
    <row r="1747" spans="1:13" ht="12.75" x14ac:dyDescent="0.2">
      <c r="A1747" s="693">
        <v>1743</v>
      </c>
      <c r="B1747" s="745" t="str">
        <f t="shared" si="28"/>
        <v>New Caledonia</v>
      </c>
      <c r="C1747" s="694" t="s">
        <v>3985</v>
      </c>
      <c r="D1747" s="1046"/>
      <c r="E1747" s="1046"/>
      <c r="F1747" s="1046"/>
      <c r="G1747" s="1046"/>
      <c r="H1747" s="1046"/>
      <c r="I1747" s="1046"/>
      <c r="J1747" s="1046"/>
      <c r="K1747" s="1046"/>
      <c r="L1747" s="1046"/>
      <c r="M1747" s="1046"/>
    </row>
    <row r="1748" spans="1:13" ht="12.75" x14ac:dyDescent="0.2">
      <c r="A1748" s="693">
        <v>1744</v>
      </c>
      <c r="B1748" s="745" t="str">
        <f t="shared" si="28"/>
        <v>Yemeni Rial</v>
      </c>
      <c r="C1748" s="694" t="s">
        <v>3986</v>
      </c>
      <c r="D1748" s="1046"/>
      <c r="E1748" s="1046"/>
      <c r="F1748" s="1046"/>
      <c r="G1748" s="1046"/>
      <c r="H1748" s="1046"/>
      <c r="I1748" s="1046"/>
      <c r="J1748" s="1046"/>
      <c r="K1748" s="1046"/>
      <c r="L1748" s="1046"/>
      <c r="M1748" s="1046"/>
    </row>
    <row r="1749" spans="1:13" ht="12.75" x14ac:dyDescent="0.2">
      <c r="A1749" s="693">
        <v>1745</v>
      </c>
      <c r="B1749" s="745" t="str">
        <f t="shared" si="28"/>
        <v>Niger</v>
      </c>
      <c r="C1749" s="694" t="s">
        <v>3987</v>
      </c>
      <c r="D1749" s="1046"/>
      <c r="E1749" s="1046"/>
      <c r="F1749" s="1046"/>
      <c r="G1749" s="1046"/>
      <c r="H1749" s="1046"/>
      <c r="I1749" s="1046"/>
      <c r="J1749" s="1046"/>
      <c r="K1749" s="1046"/>
      <c r="L1749" s="1046"/>
      <c r="M1749" s="1046"/>
    </row>
    <row r="1750" spans="1:13" ht="12.75" x14ac:dyDescent="0.2">
      <c r="A1750" s="693">
        <v>1746</v>
      </c>
      <c r="B1750" s="745" t="str">
        <f t="shared" si="28"/>
        <v>Rand</v>
      </c>
      <c r="C1750" s="694" t="s">
        <v>3988</v>
      </c>
      <c r="D1750" s="1046"/>
      <c r="E1750" s="1046"/>
      <c r="F1750" s="1046"/>
      <c r="G1750" s="1046"/>
      <c r="H1750" s="1046"/>
      <c r="I1750" s="1046"/>
      <c r="J1750" s="1046"/>
      <c r="K1750" s="1046"/>
      <c r="L1750" s="1046"/>
      <c r="M1750" s="1046"/>
    </row>
    <row r="1751" spans="1:13" ht="12.75" x14ac:dyDescent="0.2">
      <c r="A1751" s="693">
        <v>1747</v>
      </c>
      <c r="B1751" s="745" t="str">
        <f t="shared" si="28"/>
        <v>Norfolk Island</v>
      </c>
      <c r="C1751" s="694" t="s">
        <v>3989</v>
      </c>
      <c r="D1751" s="1046"/>
      <c r="E1751" s="1046"/>
      <c r="F1751" s="1046"/>
      <c r="G1751" s="1046"/>
      <c r="H1751" s="1046"/>
      <c r="I1751" s="1046"/>
      <c r="J1751" s="1046"/>
      <c r="K1751" s="1046"/>
      <c r="L1751" s="1046"/>
      <c r="M1751" s="1046"/>
    </row>
    <row r="1752" spans="1:13" ht="12.75" x14ac:dyDescent="0.2">
      <c r="A1752" s="693">
        <v>1748</v>
      </c>
      <c r="B1752" s="745" t="str">
        <f t="shared" si="28"/>
        <v>Zambian Kwacha</v>
      </c>
      <c r="C1752" s="694" t="s">
        <v>3990</v>
      </c>
      <c r="D1752" s="1046"/>
      <c r="E1752" s="1046"/>
      <c r="F1752" s="1046"/>
      <c r="G1752" s="1046"/>
      <c r="H1752" s="1046"/>
      <c r="I1752" s="1046"/>
      <c r="J1752" s="1046"/>
      <c r="K1752" s="1046"/>
      <c r="L1752" s="1046"/>
      <c r="M1752" s="1046"/>
    </row>
    <row r="1753" spans="1:13" ht="12.75" x14ac:dyDescent="0.2">
      <c r="A1753" s="693">
        <v>1749</v>
      </c>
      <c r="B1753" s="745" t="str">
        <f t="shared" si="28"/>
        <v>Nigeria</v>
      </c>
      <c r="C1753" s="694" t="s">
        <v>3991</v>
      </c>
      <c r="D1753" s="1046"/>
      <c r="E1753" s="1046"/>
      <c r="F1753" s="1046"/>
      <c r="G1753" s="1046"/>
      <c r="H1753" s="1046"/>
      <c r="I1753" s="1046"/>
      <c r="J1753" s="1046"/>
      <c r="K1753" s="1046"/>
      <c r="L1753" s="1046"/>
      <c r="M1753" s="1046"/>
    </row>
    <row r="1754" spans="1:13" ht="12.75" x14ac:dyDescent="0.2">
      <c r="A1754" s="693">
        <v>1750</v>
      </c>
      <c r="B1754" s="684" t="str">
        <f t="shared" si="28"/>
        <v>Zimbabwe Dollar</v>
      </c>
      <c r="C1754" s="694" t="s">
        <v>3992</v>
      </c>
      <c r="D1754" s="1046"/>
      <c r="E1754" s="1046"/>
      <c r="F1754" s="1046"/>
      <c r="G1754" s="1046"/>
      <c r="H1754" s="1046"/>
      <c r="I1754" s="1046"/>
      <c r="J1754" s="1046"/>
      <c r="K1754" s="1046"/>
      <c r="L1754" s="1046"/>
      <c r="M1754" s="1046"/>
    </row>
    <row r="1755" spans="1:13" ht="12.75" x14ac:dyDescent="0.2">
      <c r="A1755" s="693">
        <v>1751</v>
      </c>
      <c r="B1755" s="745" t="str">
        <f t="shared" si="28"/>
        <v>Nicaragua</v>
      </c>
      <c r="C1755" s="694" t="s">
        <v>3993</v>
      </c>
      <c r="D1755" s="1046"/>
      <c r="E1755" s="1046"/>
      <c r="F1755" s="1046"/>
      <c r="G1755" s="1046"/>
      <c r="H1755" s="1046"/>
      <c r="I1755" s="1046"/>
      <c r="J1755" s="1046"/>
      <c r="K1755" s="1046"/>
      <c r="L1755" s="1046"/>
      <c r="M1755" s="1046"/>
    </row>
    <row r="1756" spans="1:13" ht="12.75" x14ac:dyDescent="0.2">
      <c r="A1756" s="693">
        <v>1752</v>
      </c>
      <c r="B1756" s="745" t="str">
        <f t="shared" si="28"/>
        <v>Nepal</v>
      </c>
      <c r="C1756" s="694" t="s">
        <v>3994</v>
      </c>
      <c r="D1756" s="1046"/>
      <c r="E1756" s="1046"/>
      <c r="F1756" s="1046"/>
      <c r="G1756" s="1046"/>
      <c r="H1756" s="1046"/>
      <c r="I1756" s="1046"/>
      <c r="J1756" s="1046"/>
      <c r="K1756" s="1046"/>
      <c r="L1756" s="1046"/>
      <c r="M1756" s="1046"/>
    </row>
    <row r="1757" spans="1:13" ht="12.75" x14ac:dyDescent="0.2">
      <c r="A1757" s="693">
        <v>1753</v>
      </c>
      <c r="B1757" s="745" t="str">
        <f t="shared" si="28"/>
        <v>Nauru</v>
      </c>
      <c r="C1757" s="694" t="s">
        <v>3995</v>
      </c>
      <c r="D1757" s="1046"/>
      <c r="E1757" s="1046"/>
      <c r="F1757" s="1046"/>
      <c r="G1757" s="1046"/>
      <c r="H1757" s="1046"/>
      <c r="I1757" s="1046"/>
      <c r="J1757" s="1046"/>
      <c r="K1757" s="1046"/>
      <c r="L1757" s="1046"/>
      <c r="M1757" s="1046"/>
    </row>
    <row r="1758" spans="1:13" ht="12.75" x14ac:dyDescent="0.2">
      <c r="A1758" s="693">
        <v>1754</v>
      </c>
      <c r="B1758" s="745" t="str">
        <f t="shared" si="28"/>
        <v>Niue</v>
      </c>
      <c r="C1758" s="694" t="s">
        <v>3996</v>
      </c>
      <c r="D1758" s="1046"/>
      <c r="E1758" s="1046"/>
      <c r="F1758" s="1046"/>
      <c r="G1758" s="1046"/>
      <c r="H1758" s="1046"/>
      <c r="I1758" s="1046"/>
      <c r="J1758" s="1046"/>
      <c r="K1758" s="1046"/>
      <c r="L1758" s="1046"/>
      <c r="M1758" s="1046"/>
    </row>
    <row r="1759" spans="1:13" ht="12.75" x14ac:dyDescent="0.2">
      <c r="A1759" s="693">
        <v>1755</v>
      </c>
      <c r="B1759" s="745" t="str">
        <f t="shared" si="28"/>
        <v>New Zealand</v>
      </c>
      <c r="C1759" s="694" t="s">
        <v>3997</v>
      </c>
      <c r="D1759" s="1046"/>
      <c r="E1759" s="1046"/>
      <c r="F1759" s="1046"/>
      <c r="G1759" s="1046"/>
      <c r="H1759" s="1046"/>
      <c r="I1759" s="1046"/>
      <c r="J1759" s="1046"/>
      <c r="K1759" s="1046"/>
      <c r="L1759" s="1046"/>
      <c r="M1759" s="1046"/>
    </row>
    <row r="1760" spans="1:13" ht="12.75" x14ac:dyDescent="0.2">
      <c r="A1760" s="693">
        <v>1756</v>
      </c>
      <c r="B1760" s="745" t="str">
        <f t="shared" si="28"/>
        <v>Oman</v>
      </c>
      <c r="C1760" s="694" t="s">
        <v>3998</v>
      </c>
      <c r="D1760" s="1046"/>
      <c r="E1760" s="1046"/>
      <c r="F1760" s="1046"/>
      <c r="G1760" s="1046"/>
      <c r="H1760" s="1046"/>
      <c r="I1760" s="1046"/>
      <c r="J1760" s="1046"/>
      <c r="K1760" s="1046"/>
      <c r="L1760" s="1046"/>
      <c r="M1760" s="1046"/>
    </row>
    <row r="1761" spans="1:13" ht="12.75" x14ac:dyDescent="0.2">
      <c r="A1761" s="693">
        <v>1757</v>
      </c>
      <c r="B1761" s="745" t="str">
        <f t="shared" si="28"/>
        <v>Panama</v>
      </c>
      <c r="C1761" s="694" t="s">
        <v>3999</v>
      </c>
      <c r="D1761" s="1046"/>
      <c r="E1761" s="1046"/>
      <c r="F1761" s="1046"/>
      <c r="G1761" s="1046"/>
      <c r="H1761" s="1046"/>
      <c r="I1761" s="1046"/>
      <c r="J1761" s="1046"/>
      <c r="K1761" s="1046"/>
      <c r="L1761" s="1046"/>
      <c r="M1761" s="1046"/>
    </row>
    <row r="1762" spans="1:13" ht="12.75" x14ac:dyDescent="0.2">
      <c r="A1762" s="693">
        <v>1758</v>
      </c>
      <c r="B1762" s="745" t="str">
        <f t="shared" si="28"/>
        <v>Peru</v>
      </c>
      <c r="C1762" s="694" t="s">
        <v>4000</v>
      </c>
      <c r="D1762" s="1046"/>
      <c r="E1762" s="1046"/>
      <c r="F1762" s="1046"/>
      <c r="G1762" s="1046"/>
      <c r="H1762" s="1046"/>
      <c r="I1762" s="1046"/>
      <c r="J1762" s="1046"/>
      <c r="K1762" s="1046"/>
      <c r="L1762" s="1046"/>
      <c r="M1762" s="1046"/>
    </row>
    <row r="1763" spans="1:13" ht="12.75" x14ac:dyDescent="0.2">
      <c r="A1763" s="693">
        <v>1759</v>
      </c>
      <c r="B1763" s="745" t="str">
        <f t="shared" si="28"/>
        <v>French Polynesia</v>
      </c>
      <c r="C1763" s="694" t="s">
        <v>4001</v>
      </c>
      <c r="D1763" s="1046"/>
      <c r="E1763" s="1046"/>
      <c r="F1763" s="1046"/>
      <c r="G1763" s="1046"/>
      <c r="H1763" s="1046"/>
      <c r="I1763" s="1046"/>
      <c r="J1763" s="1046"/>
      <c r="K1763" s="1046"/>
      <c r="L1763" s="1046"/>
      <c r="M1763" s="1046"/>
    </row>
    <row r="1764" spans="1:13" ht="12.75" x14ac:dyDescent="0.2">
      <c r="A1764" s="693">
        <v>1760</v>
      </c>
      <c r="B1764" s="745" t="str">
        <f t="shared" si="28"/>
        <v>Papua New Guinea</v>
      </c>
      <c r="C1764" s="694" t="s">
        <v>4002</v>
      </c>
      <c r="D1764" s="1046"/>
      <c r="E1764" s="1046"/>
      <c r="F1764" s="1046"/>
      <c r="G1764" s="1046"/>
      <c r="H1764" s="1046"/>
      <c r="I1764" s="1046"/>
      <c r="J1764" s="1046"/>
      <c r="K1764" s="1046"/>
      <c r="L1764" s="1046"/>
      <c r="M1764" s="1046"/>
    </row>
    <row r="1765" spans="1:13" ht="12.75" x14ac:dyDescent="0.2">
      <c r="A1765" s="693">
        <v>1761</v>
      </c>
      <c r="B1765" s="745" t="str">
        <f t="shared" si="28"/>
        <v>Philippines</v>
      </c>
      <c r="C1765" s="694" t="s">
        <v>4003</v>
      </c>
      <c r="D1765" s="1046"/>
      <c r="E1765" s="1046"/>
      <c r="F1765" s="1046"/>
      <c r="G1765" s="1046"/>
      <c r="H1765" s="1046"/>
      <c r="I1765" s="1046"/>
      <c r="J1765" s="1046"/>
      <c r="K1765" s="1046"/>
      <c r="L1765" s="1046"/>
      <c r="M1765" s="1046"/>
    </row>
    <row r="1766" spans="1:13" ht="12.75" x14ac:dyDescent="0.2">
      <c r="A1766" s="693">
        <v>1762</v>
      </c>
      <c r="B1766" s="745" t="str">
        <f t="shared" si="28"/>
        <v>Pakistan</v>
      </c>
      <c r="C1766" s="694" t="s">
        <v>4004</v>
      </c>
      <c r="D1766" s="1046"/>
      <c r="E1766" s="1046"/>
      <c r="F1766" s="1046"/>
      <c r="G1766" s="1046"/>
      <c r="H1766" s="1046"/>
      <c r="I1766" s="1046"/>
      <c r="J1766" s="1046"/>
      <c r="K1766" s="1046"/>
      <c r="L1766" s="1046"/>
      <c r="M1766" s="1046"/>
    </row>
    <row r="1767" spans="1:13" ht="12.75" x14ac:dyDescent="0.2">
      <c r="A1767" s="693">
        <v>1763</v>
      </c>
      <c r="B1767" s="745" t="str">
        <f t="shared" si="28"/>
        <v>St Pierre and Miquelon</v>
      </c>
      <c r="C1767" s="694" t="s">
        <v>4005</v>
      </c>
      <c r="D1767" s="1046"/>
      <c r="E1767" s="1046"/>
      <c r="F1767" s="1046"/>
      <c r="G1767" s="1046"/>
      <c r="H1767" s="1046"/>
      <c r="I1767" s="1046"/>
      <c r="J1767" s="1046"/>
      <c r="K1767" s="1046"/>
      <c r="L1767" s="1046"/>
      <c r="M1767" s="1046"/>
    </row>
    <row r="1768" spans="1:13" ht="12.75" x14ac:dyDescent="0.2">
      <c r="A1768" s="693">
        <v>1764</v>
      </c>
      <c r="B1768" s="745" t="str">
        <f t="shared" si="28"/>
        <v>Pitcairn</v>
      </c>
      <c r="C1768" s="694" t="s">
        <v>4006</v>
      </c>
      <c r="D1768" s="1046"/>
      <c r="E1768" s="1046"/>
      <c r="F1768" s="1046"/>
      <c r="G1768" s="1046"/>
      <c r="H1768" s="1046"/>
      <c r="I1768" s="1046"/>
      <c r="J1768" s="1046"/>
      <c r="K1768" s="1046"/>
      <c r="L1768" s="1046"/>
      <c r="M1768" s="1046"/>
    </row>
    <row r="1769" spans="1:13" ht="12.75" x14ac:dyDescent="0.2">
      <c r="A1769" s="693">
        <v>1765</v>
      </c>
      <c r="B1769" s="745" t="str">
        <f t="shared" si="28"/>
        <v>Puerto Rico</v>
      </c>
      <c r="C1769" s="694" t="s">
        <v>4007</v>
      </c>
      <c r="D1769" s="1046"/>
      <c r="E1769" s="1046"/>
      <c r="F1769" s="1046"/>
      <c r="G1769" s="1046"/>
      <c r="H1769" s="1046"/>
      <c r="I1769" s="1046"/>
      <c r="J1769" s="1046"/>
      <c r="K1769" s="1046"/>
      <c r="L1769" s="1046"/>
      <c r="M1769" s="1046"/>
    </row>
    <row r="1770" spans="1:13" ht="12.75" x14ac:dyDescent="0.2">
      <c r="A1770" s="693">
        <v>1766</v>
      </c>
      <c r="B1770" s="745" t="str">
        <f t="shared" si="28"/>
        <v>Occupied Palestinian Territory</v>
      </c>
      <c r="C1770" s="694" t="s">
        <v>4008</v>
      </c>
      <c r="D1770" s="1046"/>
      <c r="E1770" s="1046"/>
      <c r="F1770" s="1046"/>
      <c r="G1770" s="1046"/>
      <c r="H1770" s="1046"/>
      <c r="I1770" s="1046"/>
      <c r="J1770" s="1046"/>
      <c r="K1770" s="1046"/>
      <c r="L1770" s="1046"/>
      <c r="M1770" s="1046"/>
    </row>
    <row r="1771" spans="1:13" ht="12.75" x14ac:dyDescent="0.2">
      <c r="A1771" s="693">
        <v>1767</v>
      </c>
      <c r="B1771" s="745" t="str">
        <f t="shared" si="28"/>
        <v>Palau</v>
      </c>
      <c r="C1771" s="694" t="s">
        <v>4009</v>
      </c>
      <c r="D1771" s="1046"/>
      <c r="E1771" s="1046"/>
      <c r="F1771" s="1046"/>
      <c r="G1771" s="1046"/>
      <c r="H1771" s="1046"/>
      <c r="I1771" s="1046"/>
      <c r="J1771" s="1046"/>
      <c r="K1771" s="1046"/>
      <c r="L1771" s="1046"/>
      <c r="M1771" s="1046"/>
    </row>
    <row r="1772" spans="1:13" ht="12.75" x14ac:dyDescent="0.2">
      <c r="A1772" s="693">
        <v>1768</v>
      </c>
      <c r="B1772" s="745" t="str">
        <f t="shared" si="28"/>
        <v>Paraguay</v>
      </c>
      <c r="C1772" s="694" t="s">
        <v>4010</v>
      </c>
      <c r="D1772" s="1046"/>
      <c r="E1772" s="1046"/>
      <c r="F1772" s="1046"/>
      <c r="G1772" s="1046"/>
      <c r="H1772" s="1046"/>
      <c r="I1772" s="1046"/>
      <c r="J1772" s="1046"/>
      <c r="K1772" s="1046"/>
      <c r="L1772" s="1046"/>
      <c r="M1772" s="1046"/>
    </row>
    <row r="1773" spans="1:13" ht="12.75" x14ac:dyDescent="0.2">
      <c r="A1773" s="693">
        <v>1769</v>
      </c>
      <c r="B1773" s="745" t="str">
        <f t="shared" si="28"/>
        <v>Qatar</v>
      </c>
      <c r="C1773" s="694" t="s">
        <v>4011</v>
      </c>
      <c r="D1773" s="1046"/>
      <c r="E1773" s="1046"/>
      <c r="F1773" s="1046"/>
      <c r="G1773" s="1046"/>
      <c r="H1773" s="1046"/>
      <c r="I1773" s="1046"/>
      <c r="J1773" s="1046"/>
      <c r="K1773" s="1046"/>
      <c r="L1773" s="1046"/>
      <c r="M1773" s="1046"/>
    </row>
    <row r="1774" spans="1:13" ht="12.75" x14ac:dyDescent="0.2">
      <c r="A1774" s="693">
        <v>1770</v>
      </c>
      <c r="B1774" s="745" t="str">
        <f t="shared" si="28"/>
        <v>High seas</v>
      </c>
      <c r="C1774" s="694" t="s">
        <v>4012</v>
      </c>
      <c r="D1774" s="1046"/>
      <c r="E1774" s="1046"/>
      <c r="F1774" s="1046"/>
      <c r="G1774" s="1046"/>
      <c r="H1774" s="1046"/>
      <c r="I1774" s="1046"/>
      <c r="J1774" s="1046"/>
      <c r="K1774" s="1046"/>
      <c r="L1774" s="1046"/>
      <c r="M1774" s="1046"/>
    </row>
    <row r="1775" spans="1:13" ht="12.75" x14ac:dyDescent="0.2">
      <c r="A1775" s="693">
        <v>1771</v>
      </c>
      <c r="B1775" s="745" t="str">
        <f t="shared" si="28"/>
        <v>Réunion</v>
      </c>
      <c r="C1775" s="694" t="s">
        <v>4013</v>
      </c>
      <c r="D1775" s="1046"/>
      <c r="E1775" s="1046"/>
      <c r="F1775" s="1046"/>
      <c r="G1775" s="1046"/>
      <c r="H1775" s="1046"/>
      <c r="I1775" s="1046"/>
      <c r="J1775" s="1046"/>
      <c r="K1775" s="1046"/>
      <c r="L1775" s="1046"/>
      <c r="M1775" s="1046"/>
    </row>
    <row r="1776" spans="1:13" ht="12.75" x14ac:dyDescent="0.2">
      <c r="A1776" s="693">
        <v>1772</v>
      </c>
      <c r="B1776" s="745" t="str">
        <f t="shared" si="28"/>
        <v>Serbia</v>
      </c>
      <c r="C1776" s="694" t="s">
        <v>4014</v>
      </c>
      <c r="D1776" s="1046"/>
      <c r="E1776" s="1046"/>
      <c r="F1776" s="1046"/>
      <c r="G1776" s="1046"/>
      <c r="H1776" s="1046"/>
      <c r="I1776" s="1046"/>
      <c r="J1776" s="1046"/>
      <c r="K1776" s="1046"/>
      <c r="L1776" s="1046"/>
      <c r="M1776" s="1046"/>
    </row>
    <row r="1777" spans="1:13" ht="12.75" x14ac:dyDescent="0.2">
      <c r="A1777" s="693">
        <v>1773</v>
      </c>
      <c r="B1777" s="745" t="str">
        <f t="shared" si="28"/>
        <v>Russian Federation</v>
      </c>
      <c r="C1777" s="694" t="s">
        <v>4015</v>
      </c>
      <c r="D1777" s="1046"/>
      <c r="E1777" s="1046"/>
      <c r="F1777" s="1046"/>
      <c r="G1777" s="1046"/>
      <c r="H1777" s="1046"/>
      <c r="I1777" s="1046"/>
      <c r="J1777" s="1046"/>
      <c r="K1777" s="1046"/>
      <c r="L1777" s="1046"/>
      <c r="M1777" s="1046"/>
    </row>
    <row r="1778" spans="1:13" ht="12.75" x14ac:dyDescent="0.2">
      <c r="A1778" s="693">
        <v>1774</v>
      </c>
      <c r="B1778" s="745" t="str">
        <f t="shared" si="28"/>
        <v>Rwanda</v>
      </c>
      <c r="C1778" s="694" t="s">
        <v>4016</v>
      </c>
      <c r="D1778" s="1046"/>
      <c r="E1778" s="1046"/>
      <c r="F1778" s="1046"/>
      <c r="G1778" s="1046"/>
      <c r="H1778" s="1046"/>
      <c r="I1778" s="1046"/>
      <c r="J1778" s="1046"/>
      <c r="K1778" s="1046"/>
      <c r="L1778" s="1046"/>
      <c r="M1778" s="1046"/>
    </row>
    <row r="1779" spans="1:13" ht="12.75" x14ac:dyDescent="0.2">
      <c r="A1779" s="693">
        <v>1775</v>
      </c>
      <c r="B1779" s="745" t="str">
        <f t="shared" si="28"/>
        <v>Saudi Arabia</v>
      </c>
      <c r="C1779" s="694" t="s">
        <v>4017</v>
      </c>
      <c r="D1779" s="1046"/>
      <c r="E1779" s="1046"/>
      <c r="F1779" s="1046"/>
      <c r="G1779" s="1046"/>
      <c r="H1779" s="1046"/>
      <c r="I1779" s="1046"/>
      <c r="J1779" s="1046"/>
      <c r="K1779" s="1046"/>
      <c r="L1779" s="1046"/>
      <c r="M1779" s="1046"/>
    </row>
    <row r="1780" spans="1:13" ht="12.75" x14ac:dyDescent="0.2">
      <c r="A1780" s="693">
        <v>1776</v>
      </c>
      <c r="B1780" s="745" t="str">
        <f t="shared" si="28"/>
        <v>Solomon Islands</v>
      </c>
      <c r="C1780" s="694" t="s">
        <v>4018</v>
      </c>
      <c r="D1780" s="1046"/>
      <c r="E1780" s="1046"/>
      <c r="F1780" s="1046"/>
      <c r="G1780" s="1046"/>
      <c r="H1780" s="1046"/>
      <c r="I1780" s="1046"/>
      <c r="J1780" s="1046"/>
      <c r="K1780" s="1046"/>
      <c r="L1780" s="1046"/>
      <c r="M1780" s="1046"/>
    </row>
    <row r="1781" spans="1:13" ht="12.75" x14ac:dyDescent="0.2">
      <c r="A1781" s="693">
        <v>1777</v>
      </c>
      <c r="B1781" s="745" t="str">
        <f t="shared" si="28"/>
        <v>Seychelles</v>
      </c>
      <c r="C1781" s="694" t="s">
        <v>4019</v>
      </c>
      <c r="D1781" s="1046"/>
      <c r="E1781" s="1046"/>
      <c r="F1781" s="1046"/>
      <c r="G1781" s="1046"/>
      <c r="H1781" s="1046"/>
      <c r="I1781" s="1046"/>
      <c r="J1781" s="1046"/>
      <c r="K1781" s="1046"/>
      <c r="L1781" s="1046"/>
      <c r="M1781" s="1046"/>
    </row>
    <row r="1782" spans="1:13" ht="12.75" x14ac:dyDescent="0.2">
      <c r="A1782" s="693">
        <v>1778</v>
      </c>
      <c r="B1782" s="745" t="str">
        <f t="shared" si="28"/>
        <v>Sudan</v>
      </c>
      <c r="C1782" s="694" t="s">
        <v>4020</v>
      </c>
      <c r="D1782" s="1046"/>
      <c r="E1782" s="1046"/>
      <c r="F1782" s="1046"/>
      <c r="G1782" s="1046"/>
      <c r="H1782" s="1046"/>
      <c r="I1782" s="1046"/>
      <c r="J1782" s="1046"/>
      <c r="K1782" s="1046"/>
      <c r="L1782" s="1046"/>
      <c r="M1782" s="1046"/>
    </row>
    <row r="1783" spans="1:13" ht="12.75" x14ac:dyDescent="0.2">
      <c r="A1783" s="693">
        <v>1779</v>
      </c>
      <c r="B1783" s="745" t="str">
        <f t="shared" si="28"/>
        <v>Singapore</v>
      </c>
      <c r="C1783" s="694" t="s">
        <v>4021</v>
      </c>
      <c r="D1783" s="1046"/>
      <c r="E1783" s="1046"/>
      <c r="F1783" s="1046"/>
      <c r="G1783" s="1046"/>
      <c r="H1783" s="1046"/>
      <c r="I1783" s="1046"/>
      <c r="J1783" s="1046"/>
      <c r="K1783" s="1046"/>
      <c r="L1783" s="1046"/>
      <c r="M1783" s="1046"/>
    </row>
    <row r="1784" spans="1:13" ht="12.75" x14ac:dyDescent="0.2">
      <c r="A1784" s="693">
        <v>1780</v>
      </c>
      <c r="B1784" s="745" t="str">
        <f t="shared" si="28"/>
        <v>Saint Helena, Ascension and Tristan</v>
      </c>
      <c r="C1784" s="694" t="s">
        <v>4022</v>
      </c>
      <c r="D1784" s="1046"/>
      <c r="E1784" s="1046"/>
      <c r="F1784" s="1046"/>
      <c r="G1784" s="1046"/>
      <c r="H1784" s="1046"/>
      <c r="I1784" s="1046"/>
      <c r="J1784" s="1046"/>
      <c r="K1784" s="1046"/>
      <c r="L1784" s="1046"/>
      <c r="M1784" s="1046"/>
    </row>
    <row r="1785" spans="1:13" ht="12.75" x14ac:dyDescent="0.2">
      <c r="A1785" s="693">
        <v>1781</v>
      </c>
      <c r="B1785" s="745" t="str">
        <f t="shared" si="28"/>
        <v>Svalbard and Jan Mayen Islands</v>
      </c>
      <c r="C1785" s="694" t="s">
        <v>4023</v>
      </c>
      <c r="D1785" s="1046"/>
      <c r="E1785" s="1046"/>
      <c r="F1785" s="1046"/>
      <c r="G1785" s="1046"/>
      <c r="H1785" s="1046"/>
      <c r="I1785" s="1046"/>
      <c r="J1785" s="1046"/>
      <c r="K1785" s="1046"/>
      <c r="L1785" s="1046"/>
      <c r="M1785" s="1046"/>
    </row>
    <row r="1786" spans="1:13" ht="12.75" x14ac:dyDescent="0.2">
      <c r="A1786" s="693">
        <v>1782</v>
      </c>
      <c r="B1786" s="745" t="str">
        <f t="shared" si="28"/>
        <v>Sierra Leone</v>
      </c>
      <c r="C1786" s="694" t="s">
        <v>4024</v>
      </c>
      <c r="D1786" s="1046"/>
      <c r="E1786" s="1046"/>
      <c r="F1786" s="1046"/>
      <c r="G1786" s="1046"/>
      <c r="H1786" s="1046"/>
      <c r="I1786" s="1046"/>
      <c r="J1786" s="1046"/>
      <c r="K1786" s="1046"/>
      <c r="L1786" s="1046"/>
      <c r="M1786" s="1046"/>
    </row>
    <row r="1787" spans="1:13" ht="12.75" x14ac:dyDescent="0.2">
      <c r="A1787" s="693">
        <v>1783</v>
      </c>
      <c r="B1787" s="745" t="str">
        <f t="shared" si="28"/>
        <v>San Marino</v>
      </c>
      <c r="C1787" s="694" t="s">
        <v>4025</v>
      </c>
      <c r="D1787" s="1046"/>
      <c r="E1787" s="1046"/>
      <c r="F1787" s="1046"/>
      <c r="G1787" s="1046"/>
      <c r="H1787" s="1046"/>
      <c r="I1787" s="1046"/>
      <c r="J1787" s="1046"/>
      <c r="K1787" s="1046"/>
      <c r="L1787" s="1046"/>
      <c r="M1787" s="1046"/>
    </row>
    <row r="1788" spans="1:13" ht="12.75" x14ac:dyDescent="0.2">
      <c r="A1788" s="693">
        <v>1784</v>
      </c>
      <c r="B1788" s="745" t="str">
        <f t="shared" si="28"/>
        <v>Senegal</v>
      </c>
      <c r="C1788" s="694" t="s">
        <v>4026</v>
      </c>
      <c r="D1788" s="1046"/>
      <c r="E1788" s="1046"/>
      <c r="F1788" s="1046"/>
      <c r="G1788" s="1046"/>
      <c r="H1788" s="1046"/>
      <c r="I1788" s="1046"/>
      <c r="J1788" s="1046"/>
      <c r="K1788" s="1046"/>
      <c r="L1788" s="1046"/>
      <c r="M1788" s="1046"/>
    </row>
    <row r="1789" spans="1:13" ht="12.75" x14ac:dyDescent="0.2">
      <c r="A1789" s="693">
        <v>1785</v>
      </c>
      <c r="B1789" s="745" t="str">
        <f t="shared" si="28"/>
        <v>Somalia</v>
      </c>
      <c r="C1789" s="694" t="s">
        <v>4027</v>
      </c>
      <c r="D1789" s="1046"/>
      <c r="E1789" s="1046"/>
      <c r="F1789" s="1046"/>
      <c r="G1789" s="1046"/>
      <c r="H1789" s="1046"/>
      <c r="I1789" s="1046"/>
      <c r="J1789" s="1046"/>
      <c r="K1789" s="1046"/>
      <c r="L1789" s="1046"/>
      <c r="M1789" s="1046"/>
    </row>
    <row r="1790" spans="1:13" ht="12.75" x14ac:dyDescent="0.2">
      <c r="A1790" s="693">
        <v>1786</v>
      </c>
      <c r="B1790" s="745" t="str">
        <f t="shared" si="28"/>
        <v>Suriname</v>
      </c>
      <c r="C1790" s="694" t="s">
        <v>4028</v>
      </c>
      <c r="D1790" s="1046"/>
      <c r="E1790" s="1046"/>
      <c r="F1790" s="1046"/>
      <c r="G1790" s="1046"/>
      <c r="H1790" s="1046"/>
      <c r="I1790" s="1046"/>
      <c r="J1790" s="1046"/>
      <c r="K1790" s="1046"/>
      <c r="L1790" s="1046"/>
      <c r="M1790" s="1046"/>
    </row>
    <row r="1791" spans="1:13" ht="12.75" x14ac:dyDescent="0.2">
      <c r="A1791" s="693">
        <v>1787</v>
      </c>
      <c r="B1791" s="745" t="str">
        <f t="shared" si="28"/>
        <v>South Sudan</v>
      </c>
      <c r="C1791" s="694" t="s">
        <v>4029</v>
      </c>
      <c r="D1791" s="1046"/>
      <c r="E1791" s="1046"/>
      <c r="F1791" s="1046"/>
      <c r="G1791" s="1046"/>
      <c r="H1791" s="1046"/>
      <c r="I1791" s="1046"/>
      <c r="J1791" s="1046"/>
      <c r="K1791" s="1046"/>
      <c r="L1791" s="1046"/>
      <c r="M1791" s="1046"/>
    </row>
    <row r="1792" spans="1:13" ht="12.75" x14ac:dyDescent="0.2">
      <c r="A1792" s="693">
        <v>1788</v>
      </c>
      <c r="B1792" s="745" t="str">
        <f t="shared" si="28"/>
        <v>Sao Tome and Principe</v>
      </c>
      <c r="C1792" s="694" t="s">
        <v>4030</v>
      </c>
      <c r="D1792" s="1046"/>
      <c r="E1792" s="1046"/>
      <c r="F1792" s="1046"/>
      <c r="G1792" s="1046"/>
      <c r="H1792" s="1046"/>
      <c r="I1792" s="1046"/>
      <c r="J1792" s="1046"/>
      <c r="K1792" s="1046"/>
      <c r="L1792" s="1046"/>
      <c r="M1792" s="1046"/>
    </row>
    <row r="1793" spans="1:13" ht="12.75" x14ac:dyDescent="0.2">
      <c r="A1793" s="693">
        <v>1789</v>
      </c>
      <c r="B1793" s="745" t="str">
        <f t="shared" si="28"/>
        <v>El Salvador</v>
      </c>
      <c r="C1793" s="694" t="s">
        <v>4031</v>
      </c>
      <c r="D1793" s="1046"/>
      <c r="E1793" s="1046"/>
      <c r="F1793" s="1046"/>
      <c r="G1793" s="1046"/>
      <c r="H1793" s="1046"/>
      <c r="I1793" s="1046"/>
      <c r="J1793" s="1046"/>
      <c r="K1793" s="1046"/>
      <c r="L1793" s="1046"/>
      <c r="M1793" s="1046"/>
    </row>
    <row r="1794" spans="1:13" ht="12.75" x14ac:dyDescent="0.2">
      <c r="A1794" s="693">
        <v>1790</v>
      </c>
      <c r="B1794" s="745" t="str">
        <f t="shared" si="28"/>
        <v>Sint Maarten (Dutch part)</v>
      </c>
      <c r="C1794" s="694" t="s">
        <v>4032</v>
      </c>
      <c r="D1794" s="1046"/>
      <c r="E1794" s="1046"/>
      <c r="F1794" s="1046"/>
      <c r="G1794" s="1046"/>
      <c r="H1794" s="1046"/>
      <c r="I1794" s="1046"/>
      <c r="J1794" s="1046"/>
      <c r="K1794" s="1046"/>
      <c r="L1794" s="1046"/>
      <c r="M1794" s="1046"/>
    </row>
    <row r="1795" spans="1:13" ht="12.75" x14ac:dyDescent="0.2">
      <c r="A1795" s="693">
        <v>1791</v>
      </c>
      <c r="B1795" s="745" t="str">
        <f t="shared" si="28"/>
        <v>Syrian Arab Republic</v>
      </c>
      <c r="C1795" s="694" t="s">
        <v>4033</v>
      </c>
      <c r="D1795" s="1046"/>
      <c r="E1795" s="1046"/>
      <c r="F1795" s="1046"/>
      <c r="G1795" s="1046"/>
      <c r="H1795" s="1046"/>
      <c r="I1795" s="1046"/>
      <c r="J1795" s="1046"/>
      <c r="K1795" s="1046"/>
      <c r="L1795" s="1046"/>
      <c r="M1795" s="1046"/>
    </row>
    <row r="1796" spans="1:13" ht="12.75" x14ac:dyDescent="0.2">
      <c r="A1796" s="693">
        <v>1792</v>
      </c>
      <c r="B1796" s="745" t="str">
        <f t="shared" si="28"/>
        <v>Swaziland</v>
      </c>
      <c r="C1796" s="694" t="s">
        <v>4034</v>
      </c>
      <c r="D1796" s="1046"/>
      <c r="E1796" s="1046"/>
      <c r="F1796" s="1046"/>
      <c r="G1796" s="1046"/>
      <c r="H1796" s="1046"/>
      <c r="I1796" s="1046"/>
      <c r="J1796" s="1046"/>
      <c r="K1796" s="1046"/>
      <c r="L1796" s="1046"/>
      <c r="M1796" s="1046"/>
    </row>
    <row r="1797" spans="1:13" ht="12.75" x14ac:dyDescent="0.2">
      <c r="A1797" s="693">
        <v>1793</v>
      </c>
      <c r="B1797" s="745" t="str">
        <f t="shared" si="28"/>
        <v>Turks and Caicos Islands</v>
      </c>
      <c r="C1797" s="694" t="s">
        <v>4035</v>
      </c>
      <c r="D1797" s="1046"/>
      <c r="E1797" s="1046"/>
      <c r="F1797" s="1046"/>
      <c r="G1797" s="1046"/>
      <c r="H1797" s="1046"/>
      <c r="I1797" s="1046"/>
      <c r="J1797" s="1046"/>
      <c r="K1797" s="1046"/>
      <c r="L1797" s="1046"/>
      <c r="M1797" s="1046"/>
    </row>
    <row r="1798" spans="1:13" ht="12.75" x14ac:dyDescent="0.2">
      <c r="A1798" s="693">
        <v>1794</v>
      </c>
      <c r="B1798" s="745" t="str">
        <f t="shared" si="28"/>
        <v>Chad</v>
      </c>
      <c r="C1798" s="694" t="s">
        <v>4036</v>
      </c>
      <c r="D1798" s="1046"/>
      <c r="E1798" s="1046"/>
      <c r="F1798" s="1046"/>
      <c r="G1798" s="1046"/>
      <c r="H1798" s="1046"/>
      <c r="I1798" s="1046"/>
      <c r="J1798" s="1046"/>
      <c r="K1798" s="1046"/>
      <c r="L1798" s="1046"/>
      <c r="M1798" s="1046"/>
    </row>
    <row r="1799" spans="1:13" ht="12.75" x14ac:dyDescent="0.2">
      <c r="A1799" s="693">
        <v>1795</v>
      </c>
      <c r="B1799" s="745" t="str">
        <f t="shared" si="28"/>
        <v>French Southern Territories</v>
      </c>
      <c r="C1799" s="694" t="s">
        <v>4037</v>
      </c>
      <c r="D1799" s="1046"/>
      <c r="E1799" s="1046"/>
      <c r="F1799" s="1046"/>
      <c r="G1799" s="1046"/>
      <c r="H1799" s="1046"/>
      <c r="I1799" s="1046"/>
      <c r="J1799" s="1046"/>
      <c r="K1799" s="1046"/>
      <c r="L1799" s="1046"/>
      <c r="M1799" s="1046"/>
    </row>
    <row r="1800" spans="1:13" ht="12.75" x14ac:dyDescent="0.2">
      <c r="A1800" s="693">
        <v>1796</v>
      </c>
      <c r="B1800" s="745" t="str">
        <f t="shared" si="28"/>
        <v>Togo</v>
      </c>
      <c r="C1800" s="694" t="s">
        <v>4038</v>
      </c>
      <c r="D1800" s="1046"/>
      <c r="E1800" s="1046"/>
      <c r="F1800" s="1046"/>
      <c r="G1800" s="1046"/>
      <c r="H1800" s="1046"/>
      <c r="I1800" s="1046"/>
      <c r="J1800" s="1046"/>
      <c r="K1800" s="1046"/>
      <c r="L1800" s="1046"/>
      <c r="M1800" s="1046"/>
    </row>
    <row r="1801" spans="1:13" ht="12.75" x14ac:dyDescent="0.2">
      <c r="A1801" s="693">
        <v>1797</v>
      </c>
      <c r="B1801" s="745" t="str">
        <f t="shared" si="28"/>
        <v>Thailand</v>
      </c>
      <c r="C1801" s="694" t="s">
        <v>4039</v>
      </c>
      <c r="D1801" s="1046"/>
      <c r="E1801" s="1046"/>
      <c r="F1801" s="1046"/>
      <c r="G1801" s="1046"/>
      <c r="H1801" s="1046"/>
      <c r="I1801" s="1046"/>
      <c r="J1801" s="1046"/>
      <c r="K1801" s="1046"/>
      <c r="L1801" s="1046"/>
      <c r="M1801" s="1046"/>
    </row>
    <row r="1802" spans="1:13" ht="12.75" x14ac:dyDescent="0.2">
      <c r="A1802" s="693">
        <v>1798</v>
      </c>
      <c r="B1802" s="745" t="str">
        <f t="shared" si="28"/>
        <v>Tajikistan</v>
      </c>
      <c r="C1802" s="694" t="s">
        <v>4040</v>
      </c>
      <c r="D1802" s="1046"/>
      <c r="E1802" s="1046"/>
      <c r="F1802" s="1046"/>
      <c r="G1802" s="1046"/>
      <c r="H1802" s="1046"/>
      <c r="I1802" s="1046"/>
      <c r="J1802" s="1046"/>
      <c r="K1802" s="1046"/>
      <c r="L1802" s="1046"/>
      <c r="M1802" s="1046"/>
    </row>
    <row r="1803" spans="1:13" ht="12.75" x14ac:dyDescent="0.2">
      <c r="A1803" s="693">
        <v>1799</v>
      </c>
      <c r="B1803" s="745" t="str">
        <f t="shared" ref="B1803:B1866" si="29">IFERROR(INDEX(C1803:M1803,$A$4-2),$C1803)</f>
        <v>Tokelau</v>
      </c>
      <c r="C1803" s="694" t="s">
        <v>4041</v>
      </c>
      <c r="D1803" s="1046"/>
      <c r="E1803" s="1046"/>
      <c r="F1803" s="1046"/>
      <c r="G1803" s="1046"/>
      <c r="H1803" s="1046"/>
      <c r="I1803" s="1046"/>
      <c r="J1803" s="1046"/>
      <c r="K1803" s="1046"/>
      <c r="L1803" s="1046"/>
      <c r="M1803" s="1046"/>
    </row>
    <row r="1804" spans="1:13" ht="12.75" x14ac:dyDescent="0.2">
      <c r="A1804" s="693">
        <v>1800</v>
      </c>
      <c r="B1804" s="745" t="str">
        <f t="shared" si="29"/>
        <v>Timor-Leste</v>
      </c>
      <c r="C1804" s="694" t="s">
        <v>4042</v>
      </c>
      <c r="D1804" s="1046"/>
      <c r="E1804" s="1046"/>
      <c r="F1804" s="1046"/>
      <c r="G1804" s="1046"/>
      <c r="H1804" s="1046"/>
      <c r="I1804" s="1046"/>
      <c r="J1804" s="1046"/>
      <c r="K1804" s="1046"/>
      <c r="L1804" s="1046"/>
      <c r="M1804" s="1046"/>
    </row>
    <row r="1805" spans="1:13" ht="12.75" x14ac:dyDescent="0.2">
      <c r="A1805" s="693">
        <v>1801</v>
      </c>
      <c r="B1805" s="745" t="str">
        <f t="shared" si="29"/>
        <v>Turkmenistan</v>
      </c>
      <c r="C1805" s="694" t="s">
        <v>4043</v>
      </c>
      <c r="D1805" s="1046"/>
      <c r="E1805" s="1046"/>
      <c r="F1805" s="1046"/>
      <c r="G1805" s="1046"/>
      <c r="H1805" s="1046"/>
      <c r="I1805" s="1046"/>
      <c r="J1805" s="1046"/>
      <c r="K1805" s="1046"/>
      <c r="L1805" s="1046"/>
      <c r="M1805" s="1046"/>
    </row>
    <row r="1806" spans="1:13" ht="12.75" x14ac:dyDescent="0.2">
      <c r="A1806" s="693">
        <v>1802</v>
      </c>
      <c r="B1806" s="745" t="str">
        <f t="shared" si="29"/>
        <v>Tunisia</v>
      </c>
      <c r="C1806" s="694" t="s">
        <v>4044</v>
      </c>
      <c r="D1806" s="1046"/>
      <c r="E1806" s="1046"/>
      <c r="F1806" s="1046"/>
      <c r="G1806" s="1046"/>
      <c r="H1806" s="1046"/>
      <c r="I1806" s="1046"/>
      <c r="J1806" s="1046"/>
      <c r="K1806" s="1046"/>
      <c r="L1806" s="1046"/>
      <c r="M1806" s="1046"/>
    </row>
    <row r="1807" spans="1:13" ht="12.75" x14ac:dyDescent="0.2">
      <c r="A1807" s="693">
        <v>1803</v>
      </c>
      <c r="B1807" s="745" t="str">
        <f t="shared" si="29"/>
        <v>Tonga</v>
      </c>
      <c r="C1807" s="694" t="s">
        <v>4045</v>
      </c>
      <c r="D1807" s="1046"/>
      <c r="E1807" s="1046"/>
      <c r="F1807" s="1046"/>
      <c r="G1807" s="1046"/>
      <c r="H1807" s="1046"/>
      <c r="I1807" s="1046"/>
      <c r="J1807" s="1046"/>
      <c r="K1807" s="1046"/>
      <c r="L1807" s="1046"/>
      <c r="M1807" s="1046"/>
    </row>
    <row r="1808" spans="1:13" ht="12.75" x14ac:dyDescent="0.2">
      <c r="A1808" s="693">
        <v>1804</v>
      </c>
      <c r="B1808" s="745" t="str">
        <f t="shared" si="29"/>
        <v>East Timor</v>
      </c>
      <c r="C1808" s="694" t="s">
        <v>4046</v>
      </c>
      <c r="D1808" s="1046"/>
      <c r="E1808" s="1046"/>
      <c r="F1808" s="1046"/>
      <c r="G1808" s="1046"/>
      <c r="H1808" s="1046"/>
      <c r="I1808" s="1046"/>
      <c r="J1808" s="1046"/>
      <c r="K1808" s="1046"/>
      <c r="L1808" s="1046"/>
      <c r="M1808" s="1046"/>
    </row>
    <row r="1809" spans="1:13" ht="12.75" x14ac:dyDescent="0.2">
      <c r="A1809" s="693">
        <v>1805</v>
      </c>
      <c r="B1809" s="745" t="str">
        <f t="shared" si="29"/>
        <v>Türkiye</v>
      </c>
      <c r="C1809" s="694" t="s">
        <v>4047</v>
      </c>
      <c r="D1809" s="1046"/>
      <c r="E1809" s="1046"/>
      <c r="F1809" s="1046"/>
      <c r="G1809" s="1046"/>
      <c r="H1809" s="1046"/>
      <c r="I1809" s="1046"/>
      <c r="J1809" s="1046"/>
      <c r="K1809" s="1046"/>
      <c r="L1809" s="1046"/>
      <c r="M1809" s="1046"/>
    </row>
    <row r="1810" spans="1:13" ht="12.75" x14ac:dyDescent="0.2">
      <c r="A1810" s="693">
        <v>1806</v>
      </c>
      <c r="B1810" s="745" t="str">
        <f t="shared" si="29"/>
        <v>Trinidad and Tobago</v>
      </c>
      <c r="C1810" s="694" t="s">
        <v>4048</v>
      </c>
      <c r="D1810" s="1046"/>
      <c r="E1810" s="1046"/>
      <c r="F1810" s="1046"/>
      <c r="G1810" s="1046"/>
      <c r="H1810" s="1046"/>
      <c r="I1810" s="1046"/>
      <c r="J1810" s="1046"/>
      <c r="K1810" s="1046"/>
      <c r="L1810" s="1046"/>
      <c r="M1810" s="1046"/>
    </row>
    <row r="1811" spans="1:13" ht="12.75" x14ac:dyDescent="0.2">
      <c r="A1811" s="693">
        <v>1807</v>
      </c>
      <c r="B1811" s="745" t="str">
        <f t="shared" si="29"/>
        <v>Tuvalu</v>
      </c>
      <c r="C1811" s="694" t="s">
        <v>4049</v>
      </c>
      <c r="D1811" s="1046"/>
      <c r="E1811" s="1046"/>
      <c r="F1811" s="1046"/>
      <c r="G1811" s="1046"/>
      <c r="H1811" s="1046"/>
      <c r="I1811" s="1046"/>
      <c r="J1811" s="1046"/>
      <c r="K1811" s="1046"/>
      <c r="L1811" s="1046"/>
      <c r="M1811" s="1046"/>
    </row>
    <row r="1812" spans="1:13" ht="12.75" x14ac:dyDescent="0.2">
      <c r="A1812" s="693">
        <v>1808</v>
      </c>
      <c r="B1812" s="745" t="str">
        <f t="shared" si="29"/>
        <v>Taiwan</v>
      </c>
      <c r="C1812" s="694" t="s">
        <v>4050</v>
      </c>
      <c r="D1812" s="1046"/>
      <c r="E1812" s="1046"/>
      <c r="F1812" s="1046"/>
      <c r="G1812" s="1046"/>
      <c r="H1812" s="1046"/>
      <c r="I1812" s="1046"/>
      <c r="J1812" s="1046"/>
      <c r="K1812" s="1046"/>
      <c r="L1812" s="1046"/>
      <c r="M1812" s="1046"/>
    </row>
    <row r="1813" spans="1:13" ht="12.75" x14ac:dyDescent="0.2">
      <c r="A1813" s="693">
        <v>1809</v>
      </c>
      <c r="B1813" s="745" t="str">
        <f t="shared" si="29"/>
        <v>Tanzania, United Republic of</v>
      </c>
      <c r="C1813" s="694" t="s">
        <v>4051</v>
      </c>
      <c r="D1813" s="1046"/>
      <c r="E1813" s="1046"/>
      <c r="F1813" s="1046"/>
      <c r="G1813" s="1046"/>
      <c r="H1813" s="1046"/>
      <c r="I1813" s="1046"/>
      <c r="J1813" s="1046"/>
      <c r="K1813" s="1046"/>
      <c r="L1813" s="1046"/>
      <c r="M1813" s="1046"/>
    </row>
    <row r="1814" spans="1:13" ht="12.75" x14ac:dyDescent="0.2">
      <c r="A1814" s="693">
        <v>1810</v>
      </c>
      <c r="B1814" s="745" t="str">
        <f t="shared" si="29"/>
        <v>Ukraine</v>
      </c>
      <c r="C1814" s="694" t="s">
        <v>4052</v>
      </c>
      <c r="D1814" s="1046"/>
      <c r="E1814" s="1046"/>
      <c r="F1814" s="1046"/>
      <c r="G1814" s="1046"/>
      <c r="H1814" s="1046"/>
      <c r="I1814" s="1046"/>
      <c r="J1814" s="1046"/>
      <c r="K1814" s="1046"/>
      <c r="L1814" s="1046"/>
      <c r="M1814" s="1046"/>
    </row>
    <row r="1815" spans="1:13" ht="12.75" x14ac:dyDescent="0.2">
      <c r="A1815" s="693">
        <v>1811</v>
      </c>
      <c r="B1815" s="745" t="str">
        <f t="shared" si="29"/>
        <v>Uganda</v>
      </c>
      <c r="C1815" s="694" t="s">
        <v>4053</v>
      </c>
      <c r="D1815" s="1046"/>
      <c r="E1815" s="1046"/>
      <c r="F1815" s="1046"/>
      <c r="G1815" s="1046"/>
      <c r="H1815" s="1046"/>
      <c r="I1815" s="1046"/>
      <c r="J1815" s="1046"/>
      <c r="K1815" s="1046"/>
      <c r="L1815" s="1046"/>
      <c r="M1815" s="1046"/>
    </row>
    <row r="1816" spans="1:13" ht="12.75" x14ac:dyDescent="0.2">
      <c r="A1816" s="693">
        <v>1812</v>
      </c>
      <c r="B1816" s="745" t="str">
        <f t="shared" si="29"/>
        <v>United States Minor Outlying Island</v>
      </c>
      <c r="C1816" s="694" t="s">
        <v>4054</v>
      </c>
      <c r="D1816" s="1046"/>
      <c r="E1816" s="1046"/>
      <c r="F1816" s="1046"/>
      <c r="G1816" s="1046"/>
      <c r="H1816" s="1046"/>
      <c r="I1816" s="1046"/>
      <c r="J1816" s="1046"/>
      <c r="K1816" s="1046"/>
      <c r="L1816" s="1046"/>
      <c r="M1816" s="1046"/>
    </row>
    <row r="1817" spans="1:13" ht="12.75" x14ac:dyDescent="0.2">
      <c r="A1817" s="693">
        <v>1813</v>
      </c>
      <c r="B1817" s="745" t="str">
        <f t="shared" si="29"/>
        <v>United States</v>
      </c>
      <c r="C1817" s="694" t="s">
        <v>4055</v>
      </c>
      <c r="D1817" s="1046"/>
      <c r="E1817" s="1046"/>
      <c r="F1817" s="1046"/>
      <c r="G1817" s="1046"/>
      <c r="H1817" s="1046"/>
      <c r="I1817" s="1046"/>
      <c r="J1817" s="1046"/>
      <c r="K1817" s="1046"/>
      <c r="L1817" s="1046"/>
      <c r="M1817" s="1046"/>
    </row>
    <row r="1818" spans="1:13" ht="12.75" x14ac:dyDescent="0.2">
      <c r="A1818" s="693">
        <v>1814</v>
      </c>
      <c r="B1818" s="745" t="str">
        <f t="shared" si="29"/>
        <v>Uruguay</v>
      </c>
      <c r="C1818" s="694" t="s">
        <v>4056</v>
      </c>
      <c r="D1818" s="1046"/>
      <c r="E1818" s="1046"/>
      <c r="F1818" s="1046"/>
      <c r="G1818" s="1046"/>
      <c r="H1818" s="1046"/>
      <c r="I1818" s="1046"/>
      <c r="J1818" s="1046"/>
      <c r="K1818" s="1046"/>
      <c r="L1818" s="1046"/>
      <c r="M1818" s="1046"/>
    </row>
    <row r="1819" spans="1:13" ht="12.75" x14ac:dyDescent="0.2">
      <c r="A1819" s="693">
        <v>1815</v>
      </c>
      <c r="B1819" s="745" t="str">
        <f t="shared" si="29"/>
        <v>Uzbekistan</v>
      </c>
      <c r="C1819" s="694" t="s">
        <v>4057</v>
      </c>
      <c r="D1819" s="1046"/>
      <c r="E1819" s="1046"/>
      <c r="F1819" s="1046"/>
      <c r="G1819" s="1046"/>
      <c r="H1819" s="1046"/>
      <c r="I1819" s="1046"/>
      <c r="J1819" s="1046"/>
      <c r="K1819" s="1046"/>
      <c r="L1819" s="1046"/>
      <c r="M1819" s="1046"/>
    </row>
    <row r="1820" spans="1:13" ht="12.75" x14ac:dyDescent="0.2">
      <c r="A1820" s="693">
        <v>1816</v>
      </c>
      <c r="B1820" s="745" t="str">
        <f t="shared" si="29"/>
        <v>Vatican City</v>
      </c>
      <c r="C1820" s="694" t="s">
        <v>4058</v>
      </c>
      <c r="D1820" s="1046"/>
      <c r="E1820" s="1046"/>
      <c r="F1820" s="1046"/>
      <c r="G1820" s="1046"/>
      <c r="H1820" s="1046"/>
      <c r="I1820" s="1046"/>
      <c r="J1820" s="1046"/>
      <c r="K1820" s="1046"/>
      <c r="L1820" s="1046"/>
      <c r="M1820" s="1046"/>
    </row>
    <row r="1821" spans="1:13" ht="12.75" x14ac:dyDescent="0.2">
      <c r="A1821" s="693">
        <v>1817</v>
      </c>
      <c r="B1821" s="745" t="str">
        <f t="shared" si="29"/>
        <v>St Vincent</v>
      </c>
      <c r="C1821" s="694" t="s">
        <v>4059</v>
      </c>
      <c r="D1821" s="1046"/>
      <c r="E1821" s="1046"/>
      <c r="F1821" s="1046"/>
      <c r="G1821" s="1046"/>
      <c r="H1821" s="1046"/>
      <c r="I1821" s="1046"/>
      <c r="J1821" s="1046"/>
      <c r="K1821" s="1046"/>
      <c r="L1821" s="1046"/>
      <c r="M1821" s="1046"/>
    </row>
    <row r="1822" spans="1:13" ht="12.75" x14ac:dyDescent="0.2">
      <c r="A1822" s="693">
        <v>1818</v>
      </c>
      <c r="B1822" s="745" t="str">
        <f t="shared" si="29"/>
        <v>Venezuela</v>
      </c>
      <c r="C1822" s="694" t="s">
        <v>4060</v>
      </c>
      <c r="D1822" s="1046"/>
      <c r="E1822" s="1046"/>
      <c r="F1822" s="1046"/>
      <c r="G1822" s="1046"/>
      <c r="H1822" s="1046"/>
      <c r="I1822" s="1046"/>
      <c r="J1822" s="1046"/>
      <c r="K1822" s="1046"/>
      <c r="L1822" s="1046"/>
      <c r="M1822" s="1046"/>
    </row>
    <row r="1823" spans="1:13" ht="12.75" x14ac:dyDescent="0.2">
      <c r="A1823" s="693">
        <v>1819</v>
      </c>
      <c r="B1823" s="745" t="str">
        <f t="shared" si="29"/>
        <v>British Virgin Islands</v>
      </c>
      <c r="C1823" s="694" t="s">
        <v>4061</v>
      </c>
      <c r="D1823" s="1046"/>
      <c r="E1823" s="1046"/>
      <c r="F1823" s="1046"/>
      <c r="G1823" s="1046"/>
      <c r="H1823" s="1046"/>
      <c r="I1823" s="1046"/>
      <c r="J1823" s="1046"/>
      <c r="K1823" s="1046"/>
      <c r="L1823" s="1046"/>
      <c r="M1823" s="1046"/>
    </row>
    <row r="1824" spans="1:13" ht="12.75" x14ac:dyDescent="0.2">
      <c r="A1824" s="693">
        <v>1820</v>
      </c>
      <c r="B1824" s="745" t="str">
        <f t="shared" si="29"/>
        <v>US Virgin Islands</v>
      </c>
      <c r="C1824" s="694" t="s">
        <v>4062</v>
      </c>
      <c r="D1824" s="1046"/>
      <c r="E1824" s="1046"/>
      <c r="F1824" s="1046"/>
      <c r="G1824" s="1046"/>
      <c r="H1824" s="1046"/>
      <c r="I1824" s="1046"/>
      <c r="J1824" s="1046"/>
      <c r="K1824" s="1046"/>
      <c r="L1824" s="1046"/>
      <c r="M1824" s="1046"/>
    </row>
    <row r="1825" spans="1:13" ht="12.75" x14ac:dyDescent="0.2">
      <c r="A1825" s="693">
        <v>1821</v>
      </c>
      <c r="B1825" s="745" t="str">
        <f t="shared" si="29"/>
        <v>Vietnam</v>
      </c>
      <c r="C1825" s="694" t="s">
        <v>4063</v>
      </c>
      <c r="D1825" s="1046"/>
      <c r="E1825" s="1046"/>
      <c r="F1825" s="1046"/>
      <c r="G1825" s="1046"/>
      <c r="H1825" s="1046"/>
      <c r="I1825" s="1046"/>
      <c r="J1825" s="1046"/>
      <c r="K1825" s="1046"/>
      <c r="L1825" s="1046"/>
      <c r="M1825" s="1046"/>
    </row>
    <row r="1826" spans="1:13" ht="12.75" x14ac:dyDescent="0.2">
      <c r="A1826" s="693">
        <v>1822</v>
      </c>
      <c r="B1826" s="745" t="str">
        <f t="shared" si="29"/>
        <v>Vanuatu</v>
      </c>
      <c r="C1826" s="694" t="s">
        <v>4064</v>
      </c>
      <c r="D1826" s="1046"/>
      <c r="E1826" s="1046"/>
      <c r="F1826" s="1046"/>
      <c r="G1826" s="1046"/>
      <c r="H1826" s="1046"/>
      <c r="I1826" s="1046"/>
      <c r="J1826" s="1046"/>
      <c r="K1826" s="1046"/>
      <c r="L1826" s="1046"/>
      <c r="M1826" s="1046"/>
    </row>
    <row r="1827" spans="1:13" ht="12.75" x14ac:dyDescent="0.2">
      <c r="A1827" s="693">
        <v>1823</v>
      </c>
      <c r="B1827" s="745" t="str">
        <f t="shared" si="29"/>
        <v>Wallis and Futuna Islands</v>
      </c>
      <c r="C1827" s="694" t="s">
        <v>4065</v>
      </c>
      <c r="D1827" s="1046"/>
      <c r="E1827" s="1046"/>
      <c r="F1827" s="1046"/>
      <c r="G1827" s="1046"/>
      <c r="H1827" s="1046"/>
      <c r="I1827" s="1046"/>
      <c r="J1827" s="1046"/>
      <c r="K1827" s="1046"/>
      <c r="L1827" s="1046"/>
      <c r="M1827" s="1046"/>
    </row>
    <row r="1828" spans="1:13" ht="12.75" x14ac:dyDescent="0.2">
      <c r="A1828" s="693">
        <v>1824</v>
      </c>
      <c r="B1828" s="745" t="str">
        <f t="shared" si="29"/>
        <v>Samoa</v>
      </c>
      <c r="C1828" s="694" t="s">
        <v>4066</v>
      </c>
      <c r="D1828" s="1046"/>
      <c r="E1828" s="1046"/>
      <c r="F1828" s="1046"/>
      <c r="G1828" s="1046"/>
      <c r="H1828" s="1046"/>
      <c r="I1828" s="1046"/>
      <c r="J1828" s="1046"/>
      <c r="K1828" s="1046"/>
      <c r="L1828" s="1046"/>
      <c r="M1828" s="1046"/>
    </row>
    <row r="1829" spans="1:13" ht="12.75" x14ac:dyDescent="0.2">
      <c r="A1829" s="693">
        <v>1825</v>
      </c>
      <c r="B1829" s="745" t="str">
        <f t="shared" si="29"/>
        <v>American Oceania</v>
      </c>
      <c r="C1829" s="694" t="s">
        <v>4067</v>
      </c>
      <c r="D1829" s="1046"/>
      <c r="E1829" s="1046"/>
      <c r="F1829" s="1046"/>
      <c r="G1829" s="1046"/>
      <c r="H1829" s="1046"/>
      <c r="I1829" s="1046"/>
      <c r="J1829" s="1046"/>
      <c r="K1829" s="1046"/>
      <c r="L1829" s="1046"/>
      <c r="M1829" s="1046"/>
    </row>
    <row r="1830" spans="1:13" ht="12.75" x14ac:dyDescent="0.2">
      <c r="A1830" s="693">
        <v>1826</v>
      </c>
      <c r="B1830" s="745" t="str">
        <f t="shared" si="29"/>
        <v>Ceuta</v>
      </c>
      <c r="C1830" s="694" t="s">
        <v>4068</v>
      </c>
      <c r="D1830" s="1046"/>
      <c r="E1830" s="1046"/>
      <c r="F1830" s="1046"/>
      <c r="G1830" s="1046"/>
      <c r="H1830" s="1046"/>
      <c r="I1830" s="1046"/>
      <c r="J1830" s="1046"/>
      <c r="K1830" s="1046"/>
      <c r="L1830" s="1046"/>
      <c r="M1830" s="1046"/>
    </row>
    <row r="1831" spans="1:13" ht="12.75" x14ac:dyDescent="0.2">
      <c r="A1831" s="693">
        <v>1827</v>
      </c>
      <c r="B1831" s="745" t="str">
        <f t="shared" si="29"/>
        <v>United Kingdom (Northern Ireland)</v>
      </c>
      <c r="C1831" s="694" t="s">
        <v>4069</v>
      </c>
      <c r="D1831" s="1046"/>
      <c r="E1831" s="1046"/>
      <c r="F1831" s="1046"/>
      <c r="G1831" s="1046"/>
      <c r="H1831" s="1046"/>
      <c r="I1831" s="1046"/>
      <c r="J1831" s="1046"/>
      <c r="K1831" s="1046"/>
      <c r="L1831" s="1046"/>
      <c r="M1831" s="1046"/>
    </row>
    <row r="1832" spans="1:13" ht="12.75" x14ac:dyDescent="0.2">
      <c r="A1832" s="693">
        <v>1828</v>
      </c>
      <c r="B1832" s="745" t="str">
        <f t="shared" si="29"/>
        <v>Kosovo</v>
      </c>
      <c r="C1832" s="694" t="s">
        <v>4070</v>
      </c>
      <c r="D1832" s="1046"/>
      <c r="E1832" s="1046"/>
      <c r="F1832" s="1046"/>
      <c r="G1832" s="1046"/>
      <c r="H1832" s="1046"/>
      <c r="I1832" s="1046"/>
      <c r="J1832" s="1046"/>
      <c r="K1832" s="1046"/>
      <c r="L1832" s="1046"/>
      <c r="M1832" s="1046"/>
    </row>
    <row r="1833" spans="1:13" ht="12.75" x14ac:dyDescent="0.2">
      <c r="A1833" s="693">
        <v>1829</v>
      </c>
      <c r="B1833" s="745" t="str">
        <f t="shared" si="29"/>
        <v>Melilla</v>
      </c>
      <c r="C1833" s="694" t="s">
        <v>4071</v>
      </c>
      <c r="D1833" s="1046"/>
      <c r="E1833" s="1046"/>
      <c r="F1833" s="1046"/>
      <c r="G1833" s="1046"/>
      <c r="H1833" s="1046"/>
      <c r="I1833" s="1046"/>
      <c r="J1833" s="1046"/>
      <c r="K1833" s="1046"/>
      <c r="L1833" s="1046"/>
      <c r="M1833" s="1046"/>
    </row>
    <row r="1834" spans="1:13" ht="12.75" x14ac:dyDescent="0.2">
      <c r="A1834" s="693">
        <v>1830</v>
      </c>
      <c r="B1834" s="745" t="str">
        <f t="shared" si="29"/>
        <v>Australian Oceania</v>
      </c>
      <c r="C1834" s="694" t="s">
        <v>4072</v>
      </c>
      <c r="D1834" s="1046"/>
      <c r="E1834" s="1046"/>
      <c r="F1834" s="1046"/>
      <c r="G1834" s="1046"/>
      <c r="H1834" s="1046"/>
      <c r="I1834" s="1046"/>
      <c r="J1834" s="1046"/>
      <c r="K1834" s="1046"/>
      <c r="L1834" s="1046"/>
      <c r="M1834" s="1046"/>
    </row>
    <row r="1835" spans="1:13" ht="12.75" x14ac:dyDescent="0.2">
      <c r="A1835" s="693">
        <v>1831</v>
      </c>
      <c r="B1835" s="745" t="str">
        <f t="shared" si="29"/>
        <v>West Bank and Gaza Strip</v>
      </c>
      <c r="C1835" s="694" t="s">
        <v>4073</v>
      </c>
      <c r="D1835" s="1046"/>
      <c r="E1835" s="1046"/>
      <c r="F1835" s="1046"/>
      <c r="G1835" s="1046"/>
      <c r="H1835" s="1046"/>
      <c r="I1835" s="1046"/>
      <c r="J1835" s="1046"/>
      <c r="K1835" s="1046"/>
      <c r="L1835" s="1046"/>
      <c r="M1835" s="1046"/>
    </row>
    <row r="1836" spans="1:13" ht="12.75" x14ac:dyDescent="0.2">
      <c r="A1836" s="693">
        <v>1832</v>
      </c>
      <c r="B1836" s="745" t="str">
        <f t="shared" si="29"/>
        <v>Polar regions</v>
      </c>
      <c r="C1836" s="694" t="s">
        <v>4074</v>
      </c>
      <c r="D1836" s="1046"/>
      <c r="E1836" s="1046"/>
      <c r="F1836" s="1046"/>
      <c r="G1836" s="1046"/>
      <c r="H1836" s="1046"/>
      <c r="I1836" s="1046"/>
      <c r="J1836" s="1046"/>
      <c r="K1836" s="1046"/>
      <c r="L1836" s="1046"/>
      <c r="M1836" s="1046"/>
    </row>
    <row r="1837" spans="1:13" ht="12.75" x14ac:dyDescent="0.2">
      <c r="A1837" s="693">
        <v>1833</v>
      </c>
      <c r="B1837" s="745" t="str">
        <f t="shared" si="29"/>
        <v>New Zealand Oceania</v>
      </c>
      <c r="C1837" s="694" t="s">
        <v>4075</v>
      </c>
      <c r="D1837" s="1046"/>
      <c r="E1837" s="1046"/>
      <c r="F1837" s="1046"/>
      <c r="G1837" s="1046"/>
      <c r="H1837" s="1046"/>
      <c r="I1837" s="1046"/>
      <c r="J1837" s="1046"/>
      <c r="K1837" s="1046"/>
      <c r="L1837" s="1046"/>
      <c r="M1837" s="1046"/>
    </row>
    <row r="1838" spans="1:13" ht="12.75" x14ac:dyDescent="0.2">
      <c r="A1838" s="693">
        <v>1834</v>
      </c>
      <c r="B1838" s="745" t="str">
        <f t="shared" si="29"/>
        <v>Yemen</v>
      </c>
      <c r="C1838" s="694" t="s">
        <v>4076</v>
      </c>
      <c r="D1838" s="1046"/>
      <c r="E1838" s="1046"/>
      <c r="F1838" s="1046"/>
      <c r="G1838" s="1046"/>
      <c r="H1838" s="1046"/>
      <c r="I1838" s="1046"/>
      <c r="J1838" s="1046"/>
      <c r="K1838" s="1046"/>
      <c r="L1838" s="1046"/>
      <c r="M1838" s="1046"/>
    </row>
    <row r="1839" spans="1:13" ht="12.75" x14ac:dyDescent="0.2">
      <c r="A1839" s="693">
        <v>1835</v>
      </c>
      <c r="B1839" s="745" t="str">
        <f t="shared" si="29"/>
        <v>Mayotte</v>
      </c>
      <c r="C1839" s="694" t="s">
        <v>4077</v>
      </c>
      <c r="D1839" s="1046"/>
      <c r="E1839" s="1046"/>
      <c r="F1839" s="1046"/>
      <c r="G1839" s="1046"/>
      <c r="H1839" s="1046"/>
      <c r="I1839" s="1046"/>
      <c r="J1839" s="1046"/>
      <c r="K1839" s="1046"/>
      <c r="L1839" s="1046"/>
      <c r="M1839" s="1046"/>
    </row>
    <row r="1840" spans="1:13" ht="12.75" x14ac:dyDescent="0.2">
      <c r="A1840" s="693">
        <v>1836</v>
      </c>
      <c r="B1840" s="745" t="str">
        <f t="shared" si="29"/>
        <v>Federal Republic of Yugoslavia</v>
      </c>
      <c r="C1840" s="694" t="s">
        <v>4078</v>
      </c>
      <c r="D1840" s="1046"/>
      <c r="E1840" s="1046"/>
      <c r="F1840" s="1046"/>
      <c r="G1840" s="1046"/>
      <c r="H1840" s="1046"/>
      <c r="I1840" s="1046"/>
      <c r="J1840" s="1046"/>
      <c r="K1840" s="1046"/>
      <c r="L1840" s="1046"/>
      <c r="M1840" s="1046"/>
    </row>
    <row r="1841" spans="1:13" ht="12.75" x14ac:dyDescent="0.2">
      <c r="A1841" s="693">
        <v>1837</v>
      </c>
      <c r="B1841" s="745" t="str">
        <f t="shared" si="29"/>
        <v>South Africa</v>
      </c>
      <c r="C1841" s="694" t="s">
        <v>4079</v>
      </c>
      <c r="D1841" s="1046"/>
      <c r="E1841" s="1046"/>
      <c r="F1841" s="1046"/>
      <c r="G1841" s="1046"/>
      <c r="H1841" s="1046"/>
      <c r="I1841" s="1046"/>
      <c r="J1841" s="1046"/>
      <c r="K1841" s="1046"/>
      <c r="L1841" s="1046"/>
      <c r="M1841" s="1046"/>
    </row>
    <row r="1842" spans="1:13" ht="12.75" x14ac:dyDescent="0.2">
      <c r="A1842" s="693">
        <v>1838</v>
      </c>
      <c r="B1842" s="745" t="str">
        <f t="shared" si="29"/>
        <v>Zambia</v>
      </c>
      <c r="C1842" s="694" t="s">
        <v>4080</v>
      </c>
      <c r="D1842" s="1046"/>
      <c r="E1842" s="1046"/>
      <c r="F1842" s="1046"/>
      <c r="G1842" s="1046"/>
      <c r="H1842" s="1046"/>
      <c r="I1842" s="1046"/>
      <c r="J1842" s="1046"/>
      <c r="K1842" s="1046"/>
      <c r="L1842" s="1046"/>
      <c r="M1842" s="1046"/>
    </row>
    <row r="1843" spans="1:13" ht="12.75" x14ac:dyDescent="0.2">
      <c r="A1843" s="693">
        <v>1839</v>
      </c>
      <c r="B1843" s="745" t="str">
        <f t="shared" si="29"/>
        <v>Zaire</v>
      </c>
      <c r="C1843" s="694" t="s">
        <v>4081</v>
      </c>
      <c r="D1843" s="1046"/>
      <c r="E1843" s="1046"/>
      <c r="F1843" s="1046"/>
      <c r="G1843" s="1046"/>
      <c r="H1843" s="1046"/>
      <c r="I1843" s="1046"/>
      <c r="J1843" s="1046"/>
      <c r="K1843" s="1046"/>
      <c r="L1843" s="1046"/>
      <c r="M1843" s="1046"/>
    </row>
    <row r="1844" spans="1:13" ht="12.75" x14ac:dyDescent="0.2">
      <c r="A1844" s="693">
        <v>1840</v>
      </c>
      <c r="B1844" s="684" t="str">
        <f t="shared" si="29"/>
        <v>Zimbabwe</v>
      </c>
      <c r="C1844" s="694" t="s">
        <v>4082</v>
      </c>
      <c r="D1844" s="1046"/>
      <c r="E1844" s="1046"/>
      <c r="F1844" s="1046"/>
      <c r="G1844" s="1046"/>
      <c r="H1844" s="1046"/>
      <c r="I1844" s="1046"/>
      <c r="J1844" s="1046"/>
      <c r="K1844" s="1046"/>
      <c r="L1844" s="1046"/>
      <c r="M1844" s="1046"/>
    </row>
    <row r="1845" spans="1:13" ht="15.75" x14ac:dyDescent="0.2">
      <c r="A1845" s="693">
        <v>1841</v>
      </c>
      <c r="B1845" s="835" t="str">
        <f t="shared" si="29"/>
        <v>Common Nomenclature Codes for CBAM goods</v>
      </c>
      <c r="C1845" s="694" t="s">
        <v>4083</v>
      </c>
      <c r="D1845" s="1046"/>
      <c r="E1845" s="1046"/>
      <c r="F1845" s="1046"/>
      <c r="G1845" s="1046"/>
      <c r="H1845" s="1046"/>
      <c r="I1845" s="1046"/>
      <c r="J1845" s="1046"/>
      <c r="K1845" s="1046"/>
      <c r="L1845" s="1046"/>
      <c r="M1845" s="1046"/>
    </row>
    <row r="1846" spans="1:13" x14ac:dyDescent="0.2">
      <c r="A1846" s="693">
        <v>1842</v>
      </c>
      <c r="B1846" s="776" t="str">
        <f t="shared" si="29"/>
        <v>The list below shows the CN codes and corresponding names of all CBAM goods and the aggregated goods category to which the CN code pertains.</v>
      </c>
      <c r="C1846" s="694" t="s">
        <v>4084</v>
      </c>
      <c r="D1846" s="1046"/>
      <c r="E1846" s="1046"/>
      <c r="F1846" s="1046"/>
      <c r="G1846" s="1046"/>
      <c r="H1846" s="1046"/>
      <c r="I1846" s="1046"/>
      <c r="J1846" s="1046"/>
      <c r="K1846" s="1046"/>
      <c r="L1846" s="1046"/>
      <c r="M1846" s="1046"/>
    </row>
    <row r="1847" spans="1:13" x14ac:dyDescent="0.2">
      <c r="A1847" s="693">
        <v>1843</v>
      </c>
      <c r="B1847" s="776" t="str">
        <f t="shared" si="29"/>
        <v xml:space="preserve">CN codes for products that are not listed here do currently not fall under the CBAM. </v>
      </c>
      <c r="C1847" s="694" t="s">
        <v>4085</v>
      </c>
      <c r="D1847" s="1046"/>
      <c r="E1847" s="1046"/>
      <c r="F1847" s="1046"/>
      <c r="G1847" s="1046"/>
      <c r="H1847" s="1046"/>
      <c r="I1847" s="1046"/>
      <c r="J1847" s="1046"/>
      <c r="K1847" s="1046"/>
      <c r="L1847" s="1046"/>
      <c r="M1847" s="1046"/>
    </row>
    <row r="1848" spans="1:13" x14ac:dyDescent="0.2">
      <c r="A1848" s="693">
        <v>1844</v>
      </c>
      <c r="B1848" s="857" t="str">
        <f t="shared" si="29"/>
        <v>CN Code</v>
      </c>
      <c r="C1848" s="694" t="s">
        <v>4086</v>
      </c>
      <c r="D1848" s="1046"/>
      <c r="E1848" s="1046"/>
      <c r="F1848" s="1046"/>
      <c r="G1848" s="1046"/>
      <c r="H1848" s="1046"/>
      <c r="I1848" s="1046"/>
      <c r="J1848" s="1046"/>
      <c r="K1848" s="1046"/>
      <c r="L1848" s="1046"/>
      <c r="M1848" s="1046"/>
    </row>
    <row r="1849" spans="1:13" ht="12.75" x14ac:dyDescent="0.2">
      <c r="A1849" s="693">
        <v>1845</v>
      </c>
      <c r="B1849" s="162" t="str">
        <f t="shared" si="29"/>
        <v>GHG balance &amp; data quality</v>
      </c>
      <c r="C1849" s="694" t="s">
        <v>4087</v>
      </c>
      <c r="D1849" s="1046"/>
      <c r="E1849" s="1046"/>
      <c r="F1849" s="1046"/>
      <c r="G1849" s="1046"/>
      <c r="H1849" s="1046"/>
      <c r="I1849" s="1046"/>
      <c r="J1849" s="1046"/>
      <c r="K1849" s="1046"/>
      <c r="L1849" s="1046"/>
      <c r="M1849" s="1046"/>
    </row>
    <row r="1850" spans="1:13" ht="12.75" x14ac:dyDescent="0.2">
      <c r="A1850" s="693">
        <v>1846</v>
      </c>
      <c r="B1850" s="706" t="str">
        <f t="shared" si="29"/>
        <v>GHG balance by type of GHG</v>
      </c>
      <c r="C1850" s="694" t="s">
        <v>4088</v>
      </c>
      <c r="D1850" s="1046"/>
      <c r="E1850" s="1046"/>
      <c r="F1850" s="1046"/>
      <c r="G1850" s="1046"/>
      <c r="H1850" s="1046"/>
      <c r="I1850" s="1046"/>
      <c r="J1850" s="1046"/>
      <c r="K1850" s="1046"/>
      <c r="L1850" s="1046"/>
      <c r="M1850" s="1046"/>
    </row>
    <row r="1851" spans="1:13" ht="12.75" x14ac:dyDescent="0.2">
      <c r="A1851" s="693">
        <v>1847</v>
      </c>
      <c r="B1851" s="706" t="str">
        <f t="shared" si="29"/>
        <v>GHG balance by type of monitoring methodology</v>
      </c>
      <c r="C1851" s="694" t="s">
        <v>4089</v>
      </c>
      <c r="D1851" s="1046"/>
      <c r="E1851" s="1046"/>
      <c r="F1851" s="1046"/>
      <c r="G1851" s="1046"/>
      <c r="H1851" s="1046"/>
      <c r="I1851" s="1046"/>
      <c r="J1851" s="1046"/>
      <c r="K1851" s="1046"/>
      <c r="L1851" s="1046"/>
      <c r="M1851" s="1046"/>
    </row>
    <row r="1852" spans="1:13" x14ac:dyDescent="0.2">
      <c r="A1852" s="693">
        <v>1848</v>
      </c>
      <c r="B1852" s="893" t="str">
        <f t="shared" si="29"/>
        <v>Values below are taken automatically from entries in sheet "B_EmInst" and point (a) above.</v>
      </c>
      <c r="C1852" s="694" t="s">
        <v>4090</v>
      </c>
      <c r="D1852" s="1046"/>
      <c r="E1852" s="1046"/>
      <c r="F1852" s="1046"/>
      <c r="G1852" s="1046"/>
      <c r="H1852" s="1046"/>
      <c r="I1852" s="1046"/>
      <c r="J1852" s="1046"/>
      <c r="K1852" s="1046"/>
      <c r="L1852" s="1046"/>
      <c r="M1852" s="1046"/>
    </row>
    <row r="1853" spans="1:13" ht="12.75" x14ac:dyDescent="0.2">
      <c r="A1853" s="693">
        <v>1849</v>
      </c>
      <c r="B1853" s="750" t="str">
        <f t="shared" si="29"/>
        <v>Calculation - based (excl. PFC emissions)</v>
      </c>
      <c r="C1853" s="694" t="s">
        <v>1370</v>
      </c>
      <c r="D1853" s="1046"/>
      <c r="E1853" s="1046"/>
      <c r="F1853" s="1046"/>
      <c r="G1853" s="1046"/>
      <c r="H1853" s="1046"/>
      <c r="I1853" s="1046"/>
      <c r="J1853" s="1046"/>
      <c r="K1853" s="1046"/>
      <c r="L1853" s="1046"/>
      <c r="M1853" s="1046"/>
    </row>
    <row r="1854" spans="1:13" ht="12.75" x14ac:dyDescent="0.2">
      <c r="A1854" s="693">
        <v>1850</v>
      </c>
      <c r="B1854" s="750" t="str">
        <f t="shared" si="29"/>
        <v>Measurement - based</v>
      </c>
      <c r="C1854" s="694" t="s">
        <v>1372</v>
      </c>
      <c r="D1854" s="1046"/>
      <c r="E1854" s="1046"/>
      <c r="F1854" s="1046"/>
      <c r="G1854" s="1046"/>
      <c r="H1854" s="1046"/>
      <c r="I1854" s="1046"/>
      <c r="J1854" s="1046"/>
      <c r="K1854" s="1046"/>
      <c r="L1854" s="1046"/>
      <c r="M1854" s="1046"/>
    </row>
    <row r="1855" spans="1:13" ht="12.75" x14ac:dyDescent="0.2">
      <c r="A1855" s="693">
        <v>1851</v>
      </c>
      <c r="B1855" s="706" t="str">
        <f t="shared" si="29"/>
        <v>Information on the data quality and quality assurance</v>
      </c>
      <c r="C1855" s="694" t="s">
        <v>4091</v>
      </c>
      <c r="D1855" s="1046"/>
      <c r="E1855" s="1046"/>
      <c r="F1855" s="1046"/>
      <c r="G1855" s="1046"/>
      <c r="H1855" s="1046"/>
      <c r="I1855" s="1046"/>
      <c r="J1855" s="1046"/>
      <c r="K1855" s="1046"/>
      <c r="L1855" s="1046"/>
      <c r="M1855" s="1046"/>
    </row>
    <row r="1856" spans="1:13" x14ac:dyDescent="0.2">
      <c r="A1856" s="693">
        <v>1852</v>
      </c>
      <c r="B1856" s="772" t="str">
        <f t="shared" si="29"/>
        <v>General information on data quality:</v>
      </c>
      <c r="C1856" s="694" t="s">
        <v>1385</v>
      </c>
      <c r="D1856" s="1046"/>
      <c r="E1856" s="1046"/>
      <c r="F1856" s="1046"/>
      <c r="G1856" s="1046"/>
      <c r="H1856" s="1046"/>
      <c r="I1856" s="1046"/>
      <c r="J1856" s="1046"/>
      <c r="K1856" s="1046"/>
      <c r="L1856" s="1046"/>
      <c r="M1856" s="1046"/>
    </row>
    <row r="1857" spans="1:13" x14ac:dyDescent="0.2">
      <c r="A1857" s="693">
        <v>1853</v>
      </c>
      <c r="B1857" s="772" t="str">
        <f t="shared" si="29"/>
        <v>Please select from the hierarchical order (descending order) in the drop-down list the predominant approach for determining the installation's direct emissions.</v>
      </c>
      <c r="C1857" s="694" t="s">
        <v>4092</v>
      </c>
      <c r="D1857" s="1046"/>
      <c r="E1857" s="1046"/>
      <c r="F1857" s="1046"/>
      <c r="G1857" s="1046"/>
      <c r="H1857" s="1046"/>
      <c r="I1857" s="1046"/>
      <c r="J1857" s="1046"/>
      <c r="K1857" s="1046"/>
      <c r="L1857" s="1046"/>
      <c r="M1857" s="1046"/>
    </row>
    <row r="1858" spans="1:13" x14ac:dyDescent="0.2">
      <c r="A1858" s="693">
        <v>1854</v>
      </c>
      <c r="B1858" s="773" t="str">
        <f t="shared" si="29"/>
        <v>Justification for use of default values (if relevant):</v>
      </c>
      <c r="C1858" s="694" t="s">
        <v>1387</v>
      </c>
      <c r="D1858" s="1046"/>
      <c r="E1858" s="1046"/>
      <c r="F1858" s="1046"/>
      <c r="G1858" s="1046"/>
      <c r="H1858" s="1046"/>
      <c r="I1858" s="1046"/>
      <c r="J1858" s="1046"/>
      <c r="K1858" s="1046"/>
      <c r="L1858" s="1046"/>
      <c r="M1858" s="1046"/>
    </row>
    <row r="1859" spans="1:13" x14ac:dyDescent="0.2">
      <c r="A1859" s="693">
        <v>1855</v>
      </c>
      <c r="B1859" s="773" t="str">
        <f t="shared" si="29"/>
        <v>If the predominant method was to use default values published by the European Commission, please select from the drop-down list the most appropriate justification for not achieving higher data quality.</v>
      </c>
      <c r="C1859" s="694" t="s">
        <v>4093</v>
      </c>
      <c r="D1859" s="1046"/>
      <c r="E1859" s="1046"/>
      <c r="F1859" s="1046"/>
      <c r="G1859" s="1046"/>
      <c r="H1859" s="1046"/>
      <c r="I1859" s="1046"/>
      <c r="J1859" s="1046"/>
      <c r="K1859" s="1046"/>
      <c r="L1859" s="1046"/>
      <c r="M1859" s="1046"/>
    </row>
    <row r="1860" spans="1:13" x14ac:dyDescent="0.2">
      <c r="A1860" s="693">
        <v>1856</v>
      </c>
      <c r="B1860" s="774" t="str">
        <f t="shared" si="29"/>
        <v>Information on quality assurance:</v>
      </c>
      <c r="C1860" s="694" t="s">
        <v>1388</v>
      </c>
      <c r="D1860" s="1046"/>
      <c r="E1860" s="1046"/>
      <c r="F1860" s="1046"/>
      <c r="G1860" s="1046"/>
      <c r="H1860" s="1046"/>
      <c r="I1860" s="1046"/>
      <c r="J1860" s="1046"/>
      <c r="K1860" s="1046"/>
      <c r="L1860" s="1046"/>
      <c r="M1860" s="1046"/>
    </row>
    <row r="1861" spans="1:13" x14ac:dyDescent="0.2">
      <c r="A1861" s="693">
        <v>1857</v>
      </c>
      <c r="B1861" s="772" t="str">
        <f t="shared" si="29"/>
        <v>SE (total)</v>
      </c>
      <c r="C1861" s="694" t="s">
        <v>4094</v>
      </c>
      <c r="D1861" s="1046"/>
      <c r="E1861" s="1046"/>
      <c r="F1861" s="1046"/>
      <c r="G1861" s="1046"/>
      <c r="H1861" s="1046"/>
      <c r="I1861" s="1046"/>
      <c r="J1861" s="1046"/>
      <c r="K1861" s="1046"/>
      <c r="L1861" s="1046"/>
      <c r="M1861" s="1046"/>
    </row>
    <row r="1862" spans="1:13" x14ac:dyDescent="0.2">
      <c r="A1862" s="693">
        <v>1858</v>
      </c>
      <c r="B1862" s="772" t="str">
        <f t="shared" si="29"/>
        <v>Specific direct + indirect emissions of the production process, i.e. excluding any embedded emissions from any precursors consumed in the process.</v>
      </c>
      <c r="C1862" s="694" t="s">
        <v>4095</v>
      </c>
      <c r="D1862" s="1046"/>
      <c r="E1862" s="1046"/>
      <c r="F1862" s="1046"/>
      <c r="G1862" s="1046"/>
      <c r="H1862" s="1046"/>
      <c r="I1862" s="1046"/>
      <c r="J1862" s="1046"/>
      <c r="K1862" s="1046"/>
      <c r="L1862" s="1046"/>
      <c r="M1862" s="1046"/>
    </row>
    <row r="1863" spans="1:13" x14ac:dyDescent="0.2">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4096</v>
      </c>
      <c r="D1863" s="1046"/>
      <c r="E1863" s="1046"/>
      <c r="F1863" s="1046"/>
      <c r="G1863" s="1046"/>
      <c r="H1863" s="1046"/>
      <c r="I1863" s="1046"/>
      <c r="J1863" s="1046"/>
      <c r="K1863" s="1046"/>
      <c r="L1863" s="1046"/>
      <c r="M1863" s="1046"/>
    </row>
    <row r="1864" spans="1:13" x14ac:dyDescent="0.2">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4097</v>
      </c>
      <c r="D1864" s="1046"/>
      <c r="E1864" s="1046"/>
      <c r="F1864" s="1046"/>
      <c r="G1864" s="1046"/>
      <c r="H1864" s="1046"/>
      <c r="I1864" s="1046"/>
      <c r="J1864" s="1046"/>
      <c r="K1864" s="1046"/>
      <c r="L1864" s="1046"/>
      <c r="M1864" s="1046"/>
    </row>
    <row r="1865" spans="1:13" x14ac:dyDescent="0.2">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4098</v>
      </c>
      <c r="D1865" s="1046"/>
      <c r="E1865" s="1046"/>
      <c r="F1865" s="1046"/>
      <c r="G1865" s="1046"/>
      <c r="H1865" s="1046"/>
      <c r="I1865" s="1046"/>
      <c r="J1865" s="1046"/>
      <c r="K1865" s="1046"/>
      <c r="L1865" s="1046"/>
      <c r="M1865" s="1046"/>
    </row>
    <row r="1866" spans="1:13" ht="12.75" x14ac:dyDescent="0.2">
      <c r="A1866" s="693">
        <v>1862</v>
      </c>
      <c r="B1866" s="744" t="str">
        <f t="shared" si="29"/>
        <v>Currency:</v>
      </c>
      <c r="C1866" s="694" t="s">
        <v>4099</v>
      </c>
      <c r="D1866" s="1046"/>
      <c r="E1866" s="1046"/>
      <c r="F1866" s="1046"/>
      <c r="G1866" s="1046"/>
      <c r="H1866" s="1046"/>
      <c r="I1866" s="1046"/>
      <c r="J1866" s="1046"/>
      <c r="K1866" s="1046"/>
      <c r="L1866" s="1046"/>
      <c r="M1866" s="1046"/>
    </row>
    <row r="1867" spans="1:13" x14ac:dyDescent="0.2">
      <c r="A1867" s="693">
        <v>1863</v>
      </c>
      <c r="B1867" s="896" t="str">
        <f t="shared" ref="B1867:B1886" si="30">IFERROR(INDEX(C1867:M1867,$A$4-2),$C1867)</f>
        <v>Covered SE</v>
      </c>
      <c r="C1867" s="694" t="s">
        <v>4100</v>
      </c>
      <c r="D1867" s="1046"/>
      <c r="E1867" s="1046"/>
      <c r="F1867" s="1046"/>
      <c r="G1867" s="1046"/>
      <c r="H1867" s="1046"/>
      <c r="I1867" s="1046"/>
      <c r="J1867" s="1046"/>
      <c r="K1867" s="1046"/>
      <c r="L1867" s="1046"/>
      <c r="M1867" s="1046"/>
    </row>
    <row r="1868" spans="1:13" x14ac:dyDescent="0.2">
      <c r="A1868" s="693">
        <v>1864</v>
      </c>
      <c r="B1868" s="780" t="str">
        <f t="shared" si="30"/>
        <v>Share of emissions by default value</v>
      </c>
      <c r="C1868" s="694" t="s">
        <v>1398</v>
      </c>
      <c r="D1868" s="1046"/>
      <c r="E1868" s="1046"/>
      <c r="F1868" s="1046"/>
      <c r="G1868" s="1046"/>
      <c r="H1868" s="1046"/>
      <c r="I1868" s="1046"/>
      <c r="J1868" s="1046"/>
      <c r="K1868" s="1046"/>
      <c r="L1868" s="1046"/>
      <c r="M1868" s="1046"/>
    </row>
    <row r="1869" spans="1:13" x14ac:dyDescent="0.2">
      <c r="A1869" s="693">
        <v>1865</v>
      </c>
      <c r="B1869" s="773" t="str">
        <f t="shared" si="30"/>
        <v>Share of direct embedded emissions embedded in purchased precursors and determined by default values.</v>
      </c>
      <c r="C1869" s="694" t="s">
        <v>4101</v>
      </c>
      <c r="D1869" s="1046"/>
      <c r="E1869" s="1046"/>
      <c r="F1869" s="1046"/>
      <c r="G1869" s="1046"/>
      <c r="H1869" s="1046"/>
      <c r="I1869" s="1046"/>
      <c r="J1869" s="1046"/>
      <c r="K1869" s="1046"/>
      <c r="L1869" s="1046"/>
      <c r="M1869" s="1046"/>
    </row>
    <row r="1870" spans="1:13" x14ac:dyDescent="0.2">
      <c r="A1870" s="693">
        <v>1866</v>
      </c>
      <c r="B1870" s="773" t="str">
        <f t="shared" si="30"/>
        <v>This information is taken from the "tool to calculate the carbon price due" in sheet "F_Tools", where relevant.</v>
      </c>
      <c r="C1870" s="694" t="s">
        <v>4102</v>
      </c>
      <c r="D1870" s="1046"/>
      <c r="E1870" s="1046"/>
      <c r="F1870" s="1046"/>
      <c r="G1870" s="1046"/>
      <c r="H1870" s="1046"/>
      <c r="I1870" s="1046"/>
      <c r="J1870" s="1046"/>
      <c r="K1870" s="1046"/>
      <c r="L1870" s="1046"/>
      <c r="M1870" s="1046"/>
    </row>
    <row r="1871" spans="1:13" ht="12.75" x14ac:dyDescent="0.2">
      <c r="A1871" s="693">
        <v>1867</v>
      </c>
      <c r="B1871" s="890" t="str">
        <f t="shared" si="30"/>
        <v>Carbon price (CP)</v>
      </c>
      <c r="C1871" s="694" t="s">
        <v>4103</v>
      </c>
      <c r="D1871" s="1046"/>
      <c r="E1871" s="1046"/>
      <c r="F1871" s="1046"/>
      <c r="G1871" s="1046"/>
      <c r="H1871" s="1046"/>
      <c r="I1871" s="1046"/>
      <c r="J1871" s="1046"/>
      <c r="K1871" s="1046"/>
      <c r="L1871" s="1046"/>
      <c r="M1871" s="1046"/>
    </row>
    <row r="1872" spans="1:13" ht="12.75" x14ac:dyDescent="0.2">
      <c r="A1872" s="693">
        <v>1868</v>
      </c>
      <c r="B1872" s="890" t="str">
        <f t="shared" si="30"/>
        <v>Amount of rebate</v>
      </c>
      <c r="C1872" s="694" t="s">
        <v>4104</v>
      </c>
      <c r="D1872" s="1046"/>
      <c r="E1872" s="1046"/>
      <c r="F1872" s="1046"/>
      <c r="G1872" s="1046"/>
      <c r="H1872" s="1046"/>
      <c r="I1872" s="1046"/>
      <c r="J1872" s="1046"/>
      <c r="K1872" s="1046"/>
      <c r="L1872" s="1046"/>
      <c r="M1872" s="1046"/>
    </row>
    <row r="1873" spans="1:13" x14ac:dyDescent="0.2">
      <c r="A1873" s="693">
        <v>1869</v>
      </c>
      <c r="B1873" s="858" t="str">
        <f t="shared" si="30"/>
        <v>Missing entries?</v>
      </c>
      <c r="C1873" s="694" t="s">
        <v>4105</v>
      </c>
      <c r="D1873" s="1046"/>
      <c r="E1873" s="1046"/>
      <c r="F1873" s="1046"/>
      <c r="G1873" s="1046"/>
      <c r="H1873" s="1046"/>
      <c r="I1873" s="1046"/>
      <c r="J1873" s="1046"/>
      <c r="K1873" s="1046"/>
      <c r="L1873" s="1046"/>
      <c r="M1873" s="1046"/>
    </row>
    <row r="1874" spans="1:13" ht="15" x14ac:dyDescent="0.2">
      <c r="A1874" s="693">
        <v>1870</v>
      </c>
      <c r="B1874" s="743" t="str">
        <f t="shared" si="30"/>
        <v>Summary of emissions by monitoring methodology and data quality</v>
      </c>
      <c r="C1874" s="694" t="s">
        <v>4106</v>
      </c>
      <c r="D1874" s="1046"/>
      <c r="E1874" s="1046"/>
      <c r="F1874" s="1046"/>
      <c r="G1874" s="1046"/>
      <c r="H1874" s="1046"/>
      <c r="I1874" s="1046"/>
      <c r="J1874" s="1046"/>
      <c r="K1874" s="1046"/>
      <c r="L1874" s="1046"/>
      <c r="M1874" s="1046"/>
    </row>
    <row r="1875" spans="1:13" ht="12.75" x14ac:dyDescent="0.2">
      <c r="A1875" s="693">
        <v>1871</v>
      </c>
      <c r="B1875" s="747" t="str">
        <f t="shared" si="30"/>
        <v>Mostly measurements &amp; analyses</v>
      </c>
      <c r="C1875" s="694" t="s">
        <v>4107</v>
      </c>
      <c r="D1875" s="1046"/>
      <c r="E1875" s="1046"/>
      <c r="F1875" s="1046"/>
      <c r="G1875" s="1046"/>
      <c r="H1875" s="1046"/>
      <c r="I1875" s="1046"/>
      <c r="J1875" s="1046"/>
      <c r="K1875" s="1046"/>
      <c r="L1875" s="1046"/>
      <c r="M1875" s="1046"/>
    </row>
    <row r="1876" spans="1:13" ht="12.75" x14ac:dyDescent="0.2">
      <c r="A1876" s="693">
        <v>1872</v>
      </c>
      <c r="B1876" s="747" t="str">
        <f t="shared" si="30"/>
        <v>Mostly measurements &amp; national standard factors for e.g. the emission factor</v>
      </c>
      <c r="C1876" s="694" t="s">
        <v>4108</v>
      </c>
      <c r="D1876" s="1046"/>
      <c r="E1876" s="1046"/>
      <c r="F1876" s="1046"/>
      <c r="G1876" s="1046"/>
      <c r="H1876" s="1046"/>
      <c r="I1876" s="1046"/>
      <c r="J1876" s="1046"/>
      <c r="K1876" s="1046"/>
      <c r="L1876" s="1046"/>
      <c r="M1876" s="1046"/>
    </row>
    <row r="1877" spans="1:13" ht="12.75" x14ac:dyDescent="0.2">
      <c r="A1877" s="693">
        <v>1873</v>
      </c>
      <c r="B1877" s="747" t="str">
        <f t="shared" si="30"/>
        <v>Mostly measurements &amp; sector-specific standard factors for e.g. the emission factor</v>
      </c>
      <c r="C1877" s="694" t="s">
        <v>4109</v>
      </c>
      <c r="D1877" s="1046"/>
      <c r="E1877" s="1046"/>
      <c r="F1877" s="1046"/>
      <c r="G1877" s="1046"/>
      <c r="H1877" s="1046"/>
      <c r="I1877" s="1046"/>
      <c r="J1877" s="1046"/>
      <c r="K1877" s="1046"/>
      <c r="L1877" s="1046"/>
      <c r="M1877" s="1046"/>
    </row>
    <row r="1878" spans="1:13" ht="12.75" x14ac:dyDescent="0.2">
      <c r="A1878" s="693">
        <v>1874</v>
      </c>
      <c r="B1878" s="747" t="str">
        <f t="shared" si="30"/>
        <v>Mostly measurements &amp; international standard factors for e.g. the emission factor</v>
      </c>
      <c r="C1878" s="694" t="s">
        <v>4110</v>
      </c>
      <c r="D1878" s="1046"/>
      <c r="E1878" s="1046"/>
      <c r="F1878" s="1046"/>
      <c r="G1878" s="1046"/>
      <c r="H1878" s="1046"/>
      <c r="I1878" s="1046"/>
      <c r="J1878" s="1046"/>
      <c r="K1878" s="1046"/>
      <c r="L1878" s="1046"/>
      <c r="M1878" s="1046"/>
    </row>
    <row r="1879" spans="1:13" ht="12.75" x14ac:dyDescent="0.2">
      <c r="A1879" s="693">
        <v>1875</v>
      </c>
      <c r="B1879" s="747" t="str">
        <f t="shared" si="30"/>
        <v>Mostly default values provided by the European Commission</v>
      </c>
      <c r="C1879" s="694" t="s">
        <v>4111</v>
      </c>
      <c r="D1879" s="1046"/>
      <c r="E1879" s="1046"/>
      <c r="F1879" s="1046"/>
      <c r="G1879" s="1046"/>
      <c r="H1879" s="1046"/>
      <c r="I1879" s="1046"/>
      <c r="J1879" s="1046"/>
      <c r="K1879" s="1046"/>
      <c r="L1879" s="1046"/>
      <c r="M1879" s="1046"/>
    </row>
    <row r="1880" spans="1:13" ht="12.75" x14ac:dyDescent="0.2">
      <c r="A1880" s="693">
        <v>1876</v>
      </c>
      <c r="B1880" s="747" t="str">
        <f t="shared" si="30"/>
        <v>Third-party verification</v>
      </c>
      <c r="C1880" s="694" t="s">
        <v>4112</v>
      </c>
      <c r="D1880" s="1046"/>
      <c r="E1880" s="1046"/>
      <c r="F1880" s="1046"/>
      <c r="G1880" s="1046"/>
      <c r="H1880" s="1046"/>
      <c r="I1880" s="1046"/>
      <c r="J1880" s="1046"/>
      <c r="K1880" s="1046"/>
      <c r="L1880" s="1046"/>
      <c r="M1880" s="1046"/>
    </row>
    <row r="1881" spans="1:13" ht="12.75" x14ac:dyDescent="0.2">
      <c r="A1881" s="693">
        <v>1877</v>
      </c>
      <c r="B1881" s="747" t="str">
        <f t="shared" si="30"/>
        <v>Internal audits</v>
      </c>
      <c r="C1881" s="694" t="s">
        <v>4113</v>
      </c>
      <c r="D1881" s="1046"/>
      <c r="E1881" s="1046"/>
      <c r="F1881" s="1046"/>
      <c r="G1881" s="1046"/>
      <c r="H1881" s="1046"/>
      <c r="I1881" s="1046"/>
      <c r="J1881" s="1046"/>
      <c r="K1881" s="1046"/>
      <c r="L1881" s="1046"/>
      <c r="M1881" s="1046"/>
    </row>
    <row r="1882" spans="1:13" ht="12.75" x14ac:dyDescent="0.2">
      <c r="A1882" s="693">
        <v>1878</v>
      </c>
      <c r="B1882" s="747" t="str">
        <f t="shared" si="30"/>
        <v>Four eyes principle</v>
      </c>
      <c r="C1882" s="694" t="s">
        <v>4114</v>
      </c>
      <c r="D1882" s="1046"/>
      <c r="E1882" s="1046"/>
      <c r="F1882" s="1046"/>
      <c r="G1882" s="1046"/>
      <c r="H1882" s="1046"/>
      <c r="I1882" s="1046"/>
      <c r="J1882" s="1046"/>
      <c r="K1882" s="1046"/>
      <c r="L1882" s="1046"/>
      <c r="M1882" s="1046"/>
    </row>
    <row r="1883" spans="1:13" ht="12.75" x14ac:dyDescent="0.2">
      <c r="A1883" s="693">
        <v>1879</v>
      </c>
      <c r="B1883" s="747" t="str">
        <f t="shared" si="30"/>
        <v>Unreasonable costs for more accurate monitoring</v>
      </c>
      <c r="C1883" s="694" t="s">
        <v>4115</v>
      </c>
      <c r="D1883" s="1046"/>
      <c r="E1883" s="1046"/>
      <c r="F1883" s="1046"/>
      <c r="G1883" s="1046"/>
      <c r="H1883" s="1046"/>
      <c r="I1883" s="1046"/>
      <c r="J1883" s="1046"/>
      <c r="K1883" s="1046"/>
      <c r="L1883" s="1046"/>
      <c r="M1883" s="1046"/>
    </row>
    <row r="1884" spans="1:13" ht="12.75" x14ac:dyDescent="0.2">
      <c r="A1884" s="693">
        <v>1880</v>
      </c>
      <c r="B1884" s="747" t="str">
        <f t="shared" si="30"/>
        <v>Data gaps</v>
      </c>
      <c r="C1884" s="694" t="s">
        <v>4116</v>
      </c>
      <c r="D1884" s="1046"/>
      <c r="E1884" s="1046"/>
      <c r="F1884" s="1046"/>
      <c r="G1884" s="1046"/>
      <c r="H1884" s="1046"/>
      <c r="I1884" s="1046"/>
      <c r="J1884" s="1046"/>
      <c r="K1884" s="1046"/>
      <c r="L1884" s="1046"/>
      <c r="M1884" s="1046"/>
    </row>
    <row r="1885" spans="1:13" ht="12.75" x14ac:dyDescent="0.2">
      <c r="A1885" s="693">
        <v>1881</v>
      </c>
      <c r="B1885" s="746" t="str">
        <f t="shared" si="30"/>
        <v>Name of this sheet:</v>
      </c>
      <c r="C1885" s="694" t="s">
        <v>4117</v>
      </c>
      <c r="D1885" s="1046"/>
      <c r="E1885" s="1046"/>
      <c r="F1885" s="1046"/>
      <c r="G1885" s="1046"/>
      <c r="H1885" s="1046"/>
      <c r="I1885" s="1046"/>
      <c r="J1885" s="1046"/>
      <c r="K1885" s="1046"/>
      <c r="L1885" s="1046"/>
      <c r="M1885" s="1046"/>
    </row>
    <row r="1886" spans="1:13" x14ac:dyDescent="0.2">
      <c r="A1886" s="693">
        <v>1882</v>
      </c>
      <c r="B1886" s="773" t="str">
        <f t="shared" si="30"/>
        <v>Please select from the hierarchical order (descending order) in the drop-down list the approach for quality assurance of emissions data.</v>
      </c>
      <c r="C1886" s="694" t="s">
        <v>4118</v>
      </c>
      <c r="D1886" s="1046"/>
      <c r="E1886" s="1046"/>
      <c r="F1886" s="1046"/>
      <c r="G1886" s="1046"/>
      <c r="H1886" s="1046"/>
      <c r="I1886" s="1046"/>
      <c r="J1886" s="1046"/>
      <c r="K1886" s="1046"/>
      <c r="L1886" s="1046"/>
      <c r="M1886" s="1046"/>
    </row>
  </sheetData>
  <sheetProtection sheet="1" objects="1" scenarios="1" formatCells="0" formatColumns="0" formatRows="0"/>
  <autoFilter ref="A4:K1437"/>
  <phoneticPr fontId="68" type="noConversion"/>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hyperlink ref="B63" r:id="rId2" display="http://eur-lex.europa.eu/en/index.htm"/>
    <hyperlink ref="C27" r:id="rId3"/>
    <hyperlink ref="C63" r:id="rId4"/>
    <hyperlink ref="C29" r:id="rId5"/>
    <hyperlink ref="C61" r:id="rId6"/>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defaultColWidth="11.42578125" defaultRowHeight="14.25" x14ac:dyDescent="0.2"/>
  <cols>
    <col min="1" max="1" width="23.42578125" style="44" customWidth="1"/>
    <col min="2" max="2" width="34.7109375" style="44" customWidth="1"/>
    <col min="3" max="3" width="15.140625" style="44" customWidth="1"/>
    <col min="4" max="4" width="15.42578125" style="44" customWidth="1"/>
    <col min="5" max="5" width="11.42578125" style="44"/>
    <col min="6" max="16384" width="11.42578125" style="285"/>
  </cols>
  <sheetData>
    <row r="1" spans="1:5" ht="15" thickBot="1" x14ac:dyDescent="0.25">
      <c r="A1" s="37" t="s">
        <v>4119</v>
      </c>
    </row>
    <row r="2" spans="1:5" ht="15" thickBot="1" x14ac:dyDescent="0.25">
      <c r="A2" s="45" t="s">
        <v>4120</v>
      </c>
      <c r="B2" s="46" t="s">
        <v>4121</v>
      </c>
    </row>
    <row r="3" spans="1:5" ht="15" thickBot="1" x14ac:dyDescent="0.25">
      <c r="A3" s="47" t="s">
        <v>4122</v>
      </c>
      <c r="B3" s="48">
        <v>45222</v>
      </c>
      <c r="C3" s="49" t="str">
        <f>IF(ISNUMBER(MATCH(B3,A14:A28,0)),VLOOKUP(B3,A14:B28,2,FALSE),"---")</f>
        <v>CBAM SEE Communication_UBA_en_231023.xls</v>
      </c>
      <c r="D3" s="50"/>
      <c r="E3" s="51"/>
    </row>
    <row r="4" spans="1:5" x14ac:dyDescent="0.2">
      <c r="A4" s="52" t="s">
        <v>4123</v>
      </c>
      <c r="B4" s="53" t="s">
        <v>4124</v>
      </c>
    </row>
    <row r="5" spans="1:5" ht="15" thickBot="1" x14ac:dyDescent="0.25">
      <c r="A5" s="54" t="s">
        <v>4125</v>
      </c>
      <c r="B5" s="55" t="s">
        <v>4126</v>
      </c>
    </row>
    <row r="7" spans="1:5" x14ac:dyDescent="0.2">
      <c r="A7" s="37" t="s">
        <v>4127</v>
      </c>
    </row>
    <row r="8" spans="1:5" x14ac:dyDescent="0.2">
      <c r="A8" s="38" t="s">
        <v>4121</v>
      </c>
      <c r="B8" s="56"/>
      <c r="C8" s="38" t="s">
        <v>4128</v>
      </c>
    </row>
    <row r="9" spans="1:5" x14ac:dyDescent="0.2">
      <c r="A9" s="38"/>
      <c r="B9" s="56"/>
      <c r="C9" s="38"/>
    </row>
    <row r="10" spans="1:5" x14ac:dyDescent="0.2">
      <c r="A10" s="38"/>
      <c r="B10" s="56"/>
      <c r="C10" s="38"/>
    </row>
    <row r="11" spans="1:5" x14ac:dyDescent="0.2">
      <c r="A11" s="38"/>
      <c r="B11" s="56"/>
      <c r="C11" s="38"/>
    </row>
    <row r="13" spans="1:5" x14ac:dyDescent="0.2">
      <c r="A13" s="39" t="s">
        <v>4129</v>
      </c>
      <c r="B13" s="40" t="s">
        <v>4130</v>
      </c>
      <c r="C13" s="40" t="s">
        <v>4131</v>
      </c>
      <c r="D13" s="57"/>
    </row>
    <row r="14" spans="1:5" x14ac:dyDescent="0.2">
      <c r="A14" s="58">
        <v>45159</v>
      </c>
      <c r="B14" s="59" t="str">
        <f>IF(ISBLANK($A14),"---", VLOOKUP($B$2,$A$8:$C$11,3,0) &amp; "_" &amp; VLOOKUP($B$4,$A$31:$B$63,2,0)&amp;"_"&amp;VLOOKUP($B$5,$A$66:$B$90,2,0)&amp;"_"&amp; TEXT(YEAR($A14),"0#") &amp; TEXT(MONTH($A14),"0#") &amp; TEXT(DAY($A14),"0#") &amp;".xlsx")</f>
        <v>CBAM SEE Communication_UBA_en_20230821.xlsx</v>
      </c>
      <c r="C14" s="41" t="s">
        <v>4132</v>
      </c>
      <c r="D14" s="60"/>
    </row>
    <row r="15" spans="1:5" x14ac:dyDescent="0.2">
      <c r="A15" s="61">
        <v>45222</v>
      </c>
      <c r="B15" s="62" t="str">
        <f t="shared" ref="B15:B28" si="0">IF(ISBLANK($A15),"---", VLOOKUP($B$2,$A$8:$C$11,3,0) &amp; "_" &amp; VLOOKUP($B$4,$A$31:$B$63,2,0)&amp;"_"&amp;VLOOKUP($B$5,$A$66:$B$90,2,0)&amp;"_"&amp; TEXT(DAY($A15),"0#")&amp; TEXT(MONTH($A15),"0#")&amp; TEXT(YEAR($A15)-2000,"0#")&amp;".xls")</f>
        <v>CBAM SEE Communication_UBA_en_231023.xls</v>
      </c>
      <c r="C15" s="42" t="s">
        <v>4133</v>
      </c>
      <c r="D15" s="63"/>
    </row>
    <row r="16" spans="1:5" x14ac:dyDescent="0.2">
      <c r="A16" s="61"/>
      <c r="B16" s="62" t="str">
        <f t="shared" si="0"/>
        <v>---</v>
      </c>
      <c r="C16" s="42"/>
      <c r="D16" s="63"/>
    </row>
    <row r="17" spans="1:4" x14ac:dyDescent="0.2">
      <c r="A17" s="61"/>
      <c r="B17" s="62" t="str">
        <f t="shared" si="0"/>
        <v>---</v>
      </c>
      <c r="C17" s="42"/>
      <c r="D17" s="63"/>
    </row>
    <row r="18" spans="1:4" x14ac:dyDescent="0.2">
      <c r="A18" s="61"/>
      <c r="B18" s="62" t="str">
        <f t="shared" si="0"/>
        <v>---</v>
      </c>
      <c r="C18" s="42"/>
      <c r="D18" s="63"/>
    </row>
    <row r="19" spans="1:4" x14ac:dyDescent="0.2">
      <c r="A19" s="61"/>
      <c r="B19" s="62" t="str">
        <f t="shared" si="0"/>
        <v>---</v>
      </c>
      <c r="C19" s="64"/>
      <c r="D19" s="63"/>
    </row>
    <row r="20" spans="1:4" x14ac:dyDescent="0.2">
      <c r="A20" s="61"/>
      <c r="B20" s="62" t="str">
        <f t="shared" si="0"/>
        <v>---</v>
      </c>
      <c r="C20" s="42"/>
      <c r="D20" s="63"/>
    </row>
    <row r="21" spans="1:4" x14ac:dyDescent="0.2">
      <c r="A21" s="61"/>
      <c r="B21" s="62" t="str">
        <f t="shared" si="0"/>
        <v>---</v>
      </c>
      <c r="C21" s="42"/>
      <c r="D21" s="63"/>
    </row>
    <row r="22" spans="1:4" x14ac:dyDescent="0.2">
      <c r="A22" s="61"/>
      <c r="B22" s="62" t="str">
        <f t="shared" si="0"/>
        <v>---</v>
      </c>
      <c r="C22" s="42"/>
      <c r="D22" s="63"/>
    </row>
    <row r="23" spans="1:4" x14ac:dyDescent="0.2">
      <c r="A23" s="61"/>
      <c r="B23" s="62" t="str">
        <f t="shared" si="0"/>
        <v>---</v>
      </c>
      <c r="C23" s="42"/>
      <c r="D23" s="63"/>
    </row>
    <row r="24" spans="1:4" x14ac:dyDescent="0.2">
      <c r="A24" s="61"/>
      <c r="B24" s="62" t="str">
        <f t="shared" si="0"/>
        <v>---</v>
      </c>
      <c r="C24" s="42"/>
      <c r="D24" s="63"/>
    </row>
    <row r="25" spans="1:4" x14ac:dyDescent="0.2">
      <c r="A25" s="61"/>
      <c r="B25" s="62" t="str">
        <f t="shared" si="0"/>
        <v>---</v>
      </c>
      <c r="C25" s="42"/>
      <c r="D25" s="63"/>
    </row>
    <row r="26" spans="1:4" x14ac:dyDescent="0.2">
      <c r="A26" s="61"/>
      <c r="B26" s="62" t="str">
        <f t="shared" si="0"/>
        <v>---</v>
      </c>
      <c r="C26" s="42"/>
      <c r="D26" s="63"/>
    </row>
    <row r="27" spans="1:4" x14ac:dyDescent="0.2">
      <c r="A27" s="61"/>
      <c r="B27" s="62" t="str">
        <f t="shared" si="0"/>
        <v>---</v>
      </c>
      <c r="C27" s="42"/>
      <c r="D27" s="63"/>
    </row>
    <row r="28" spans="1:4" x14ac:dyDescent="0.2">
      <c r="A28" s="65"/>
      <c r="B28" s="66" t="str">
        <f t="shared" si="0"/>
        <v>---</v>
      </c>
      <c r="C28" s="67"/>
      <c r="D28" s="68"/>
    </row>
    <row r="30" spans="1:4" x14ac:dyDescent="0.2">
      <c r="A30" s="37" t="s">
        <v>4123</v>
      </c>
    </row>
    <row r="31" spans="1:4" x14ac:dyDescent="0.2">
      <c r="A31" s="69" t="s">
        <v>4134</v>
      </c>
      <c r="B31" s="69" t="s">
        <v>4135</v>
      </c>
    </row>
    <row r="32" spans="1:4" x14ac:dyDescent="0.2">
      <c r="A32" s="69" t="s">
        <v>4124</v>
      </c>
      <c r="B32" s="69" t="s">
        <v>4136</v>
      </c>
    </row>
    <row r="33" spans="1:2" x14ac:dyDescent="0.2">
      <c r="A33" s="69" t="s">
        <v>51</v>
      </c>
      <c r="B33" s="69" t="s">
        <v>50</v>
      </c>
    </row>
    <row r="34" spans="1:2" x14ac:dyDescent="0.2">
      <c r="A34" s="69" t="s">
        <v>68</v>
      </c>
      <c r="B34" s="69" t="s">
        <v>67</v>
      </c>
    </row>
    <row r="35" spans="1:2" x14ac:dyDescent="0.2">
      <c r="A35" s="69" t="s">
        <v>73</v>
      </c>
      <c r="B35" s="69" t="s">
        <v>72</v>
      </c>
    </row>
    <row r="36" spans="1:2" x14ac:dyDescent="0.2">
      <c r="A36" s="69" t="s">
        <v>237</v>
      </c>
      <c r="B36" s="69" t="s">
        <v>236</v>
      </c>
    </row>
    <row r="37" spans="1:2" x14ac:dyDescent="0.2">
      <c r="A37" s="69" t="s">
        <v>140</v>
      </c>
      <c r="B37" s="69" t="s">
        <v>139</v>
      </c>
    </row>
    <row r="38" spans="1:2" x14ac:dyDescent="0.2">
      <c r="A38" s="69" t="s">
        <v>4137</v>
      </c>
      <c r="B38" s="69" t="s">
        <v>142</v>
      </c>
    </row>
    <row r="39" spans="1:2" x14ac:dyDescent="0.2">
      <c r="A39" s="69" t="s">
        <v>150</v>
      </c>
      <c r="B39" s="69" t="s">
        <v>149</v>
      </c>
    </row>
    <row r="40" spans="1:2" x14ac:dyDescent="0.2">
      <c r="A40" s="69" t="s">
        <v>161</v>
      </c>
      <c r="B40" s="69" t="s">
        <v>160</v>
      </c>
    </row>
    <row r="41" spans="1:2" x14ac:dyDescent="0.2">
      <c r="A41" s="69" t="s">
        <v>177</v>
      </c>
      <c r="B41" s="69" t="s">
        <v>176</v>
      </c>
    </row>
    <row r="42" spans="1:2" x14ac:dyDescent="0.2">
      <c r="A42" s="69" t="s">
        <v>188</v>
      </c>
      <c r="B42" s="69" t="s">
        <v>187</v>
      </c>
    </row>
    <row r="43" spans="1:2" x14ac:dyDescent="0.2">
      <c r="A43" s="69" t="s">
        <v>145</v>
      </c>
      <c r="B43" s="69" t="s">
        <v>144</v>
      </c>
    </row>
    <row r="44" spans="1:2" x14ac:dyDescent="0.2">
      <c r="A44" s="69" t="s">
        <v>218</v>
      </c>
      <c r="B44" s="69" t="s">
        <v>4138</v>
      </c>
    </row>
    <row r="45" spans="1:2" x14ac:dyDescent="0.2">
      <c r="A45" s="69" t="s">
        <v>242</v>
      </c>
      <c r="B45" s="69" t="s">
        <v>241</v>
      </c>
    </row>
    <row r="46" spans="1:2" x14ac:dyDescent="0.2">
      <c r="A46" s="69" t="s">
        <v>262</v>
      </c>
      <c r="B46" s="69" t="s">
        <v>4139</v>
      </c>
    </row>
    <row r="47" spans="1:2" x14ac:dyDescent="0.2">
      <c r="A47" s="69" t="s">
        <v>247</v>
      </c>
      <c r="B47" s="69" t="s">
        <v>246</v>
      </c>
    </row>
    <row r="48" spans="1:2" x14ac:dyDescent="0.2">
      <c r="A48" s="69" t="s">
        <v>265</v>
      </c>
      <c r="B48" s="69" t="s">
        <v>264</v>
      </c>
    </row>
    <row r="49" spans="1:2" x14ac:dyDescent="0.2">
      <c r="A49" s="69" t="s">
        <v>319</v>
      </c>
      <c r="B49" s="69" t="s">
        <v>318</v>
      </c>
    </row>
    <row r="50" spans="1:2" x14ac:dyDescent="0.2">
      <c r="A50" s="69" t="s">
        <v>304</v>
      </c>
      <c r="B50" s="69" t="s">
        <v>303</v>
      </c>
    </row>
    <row r="51" spans="1:2" x14ac:dyDescent="0.2">
      <c r="A51" s="69" t="s">
        <v>313</v>
      </c>
      <c r="B51" s="69" t="s">
        <v>312</v>
      </c>
    </row>
    <row r="52" spans="1:2" x14ac:dyDescent="0.2">
      <c r="A52" s="69" t="s">
        <v>316</v>
      </c>
      <c r="B52" s="69" t="s">
        <v>315</v>
      </c>
    </row>
    <row r="53" spans="1:2" x14ac:dyDescent="0.2">
      <c r="A53" s="69" t="s">
        <v>356</v>
      </c>
      <c r="B53" s="69" t="s">
        <v>355</v>
      </c>
    </row>
    <row r="54" spans="1:2" x14ac:dyDescent="0.2">
      <c r="A54" s="69" t="s">
        <v>383</v>
      </c>
      <c r="B54" s="69" t="s">
        <v>382</v>
      </c>
    </row>
    <row r="55" spans="1:2" x14ac:dyDescent="0.2">
      <c r="A55" s="69" t="s">
        <v>385</v>
      </c>
      <c r="B55" s="69" t="s">
        <v>384</v>
      </c>
    </row>
    <row r="56" spans="1:2" x14ac:dyDescent="0.2">
      <c r="A56" s="69" t="s">
        <v>398</v>
      </c>
      <c r="B56" s="69" t="s">
        <v>397</v>
      </c>
    </row>
    <row r="57" spans="1:2" x14ac:dyDescent="0.2">
      <c r="A57" s="69" t="s">
        <v>404</v>
      </c>
      <c r="B57" s="69" t="s">
        <v>403</v>
      </c>
    </row>
    <row r="58" spans="1:2" x14ac:dyDescent="0.2">
      <c r="A58" s="69" t="s">
        <v>411</v>
      </c>
      <c r="B58" s="69" t="s">
        <v>410</v>
      </c>
    </row>
    <row r="59" spans="1:2" x14ac:dyDescent="0.2">
      <c r="A59" s="69" t="s">
        <v>427</v>
      </c>
      <c r="B59" s="69" t="s">
        <v>426</v>
      </c>
    </row>
    <row r="60" spans="1:2" x14ac:dyDescent="0.2">
      <c r="A60" s="69" t="s">
        <v>424</v>
      </c>
      <c r="B60" s="69" t="s">
        <v>423</v>
      </c>
    </row>
    <row r="61" spans="1:2" x14ac:dyDescent="0.2">
      <c r="A61" s="69" t="s">
        <v>170</v>
      </c>
      <c r="B61" s="69" t="s">
        <v>169</v>
      </c>
    </row>
    <row r="62" spans="1:2" x14ac:dyDescent="0.2">
      <c r="A62" s="69" t="s">
        <v>420</v>
      </c>
      <c r="B62" s="69" t="s">
        <v>419</v>
      </c>
    </row>
    <row r="63" spans="1:2" x14ac:dyDescent="0.2">
      <c r="A63" s="69" t="s">
        <v>193</v>
      </c>
      <c r="B63" s="69" t="s">
        <v>4140</v>
      </c>
    </row>
    <row r="65" spans="1:2" x14ac:dyDescent="0.2">
      <c r="A65" s="37" t="s">
        <v>4141</v>
      </c>
    </row>
    <row r="66" spans="1:2" x14ac:dyDescent="0.2">
      <c r="A66" s="43" t="s">
        <v>4142</v>
      </c>
      <c r="B66" s="43" t="s">
        <v>4143</v>
      </c>
    </row>
    <row r="67" spans="1:2" x14ac:dyDescent="0.2">
      <c r="A67" s="43" t="s">
        <v>4144</v>
      </c>
      <c r="B67" s="43" t="s">
        <v>4145</v>
      </c>
    </row>
    <row r="68" spans="1:2" x14ac:dyDescent="0.2">
      <c r="A68" s="43" t="s">
        <v>4146</v>
      </c>
      <c r="B68" s="43" t="s">
        <v>4147</v>
      </c>
    </row>
    <row r="69" spans="1:2" x14ac:dyDescent="0.2">
      <c r="A69" s="43" t="s">
        <v>4148</v>
      </c>
      <c r="B69" s="43" t="s">
        <v>4149</v>
      </c>
    </row>
    <row r="70" spans="1:2" x14ac:dyDescent="0.2">
      <c r="A70" s="43" t="s">
        <v>4150</v>
      </c>
      <c r="B70" s="43" t="s">
        <v>4151</v>
      </c>
    </row>
    <row r="71" spans="1:2" x14ac:dyDescent="0.2">
      <c r="A71" s="43" t="s">
        <v>4152</v>
      </c>
      <c r="B71" s="43" t="s">
        <v>4153</v>
      </c>
    </row>
    <row r="72" spans="1:2" x14ac:dyDescent="0.2">
      <c r="A72" s="43" t="s">
        <v>4154</v>
      </c>
      <c r="B72" s="43" t="s">
        <v>4155</v>
      </c>
    </row>
    <row r="73" spans="1:2" x14ac:dyDescent="0.2">
      <c r="A73" s="43" t="s">
        <v>4156</v>
      </c>
      <c r="B73" s="43" t="s">
        <v>4157</v>
      </c>
    </row>
    <row r="74" spans="1:2" x14ac:dyDescent="0.2">
      <c r="A74" s="43" t="s">
        <v>4126</v>
      </c>
      <c r="B74" s="43" t="s">
        <v>4158</v>
      </c>
    </row>
    <row r="75" spans="1:2" x14ac:dyDescent="0.2">
      <c r="A75" s="43" t="s">
        <v>4159</v>
      </c>
      <c r="B75" s="43" t="s">
        <v>4160</v>
      </c>
    </row>
    <row r="76" spans="1:2" x14ac:dyDescent="0.2">
      <c r="A76" s="43" t="s">
        <v>4161</v>
      </c>
      <c r="B76" s="43" t="s">
        <v>4162</v>
      </c>
    </row>
    <row r="77" spans="1:2" x14ac:dyDescent="0.2">
      <c r="A77" s="43" t="s">
        <v>4163</v>
      </c>
      <c r="B77" s="43" t="s">
        <v>4164</v>
      </c>
    </row>
    <row r="78" spans="1:2" x14ac:dyDescent="0.2">
      <c r="A78" s="43" t="s">
        <v>4165</v>
      </c>
      <c r="B78" s="43" t="s">
        <v>4166</v>
      </c>
    </row>
    <row r="79" spans="1:2" x14ac:dyDescent="0.2">
      <c r="A79" s="43" t="s">
        <v>4167</v>
      </c>
      <c r="B79" s="43" t="s">
        <v>4168</v>
      </c>
    </row>
    <row r="80" spans="1:2" x14ac:dyDescent="0.2">
      <c r="A80" s="43" t="s">
        <v>4169</v>
      </c>
      <c r="B80" s="43" t="s">
        <v>4170</v>
      </c>
    </row>
    <row r="81" spans="1:2" x14ac:dyDescent="0.2">
      <c r="A81" s="43" t="s">
        <v>4171</v>
      </c>
      <c r="B81" s="43" t="s">
        <v>4172</v>
      </c>
    </row>
    <row r="82" spans="1:2" x14ac:dyDescent="0.2">
      <c r="A82" s="43" t="s">
        <v>4173</v>
      </c>
      <c r="B82" s="43" t="s">
        <v>4174</v>
      </c>
    </row>
    <row r="83" spans="1:2" x14ac:dyDescent="0.2">
      <c r="A83" s="43" t="s">
        <v>4175</v>
      </c>
      <c r="B83" s="43" t="s">
        <v>4176</v>
      </c>
    </row>
    <row r="84" spans="1:2" x14ac:dyDescent="0.2">
      <c r="A84" s="43" t="s">
        <v>4177</v>
      </c>
      <c r="B84" s="43" t="s">
        <v>4178</v>
      </c>
    </row>
    <row r="85" spans="1:2" x14ac:dyDescent="0.2">
      <c r="A85" s="43" t="s">
        <v>4179</v>
      </c>
      <c r="B85" s="43" t="s">
        <v>4180</v>
      </c>
    </row>
    <row r="86" spans="1:2" x14ac:dyDescent="0.2">
      <c r="A86" s="43" t="s">
        <v>4181</v>
      </c>
      <c r="B86" s="43" t="s">
        <v>4182</v>
      </c>
    </row>
    <row r="87" spans="1:2" x14ac:dyDescent="0.2">
      <c r="A87" s="43" t="s">
        <v>4183</v>
      </c>
      <c r="B87" s="43" t="s">
        <v>4184</v>
      </c>
    </row>
    <row r="88" spans="1:2" x14ac:dyDescent="0.2">
      <c r="A88" s="43" t="s">
        <v>4185</v>
      </c>
      <c r="B88" s="43" t="s">
        <v>4186</v>
      </c>
    </row>
    <row r="89" spans="1:2" x14ac:dyDescent="0.2">
      <c r="A89" s="43" t="s">
        <v>4187</v>
      </c>
      <c r="B89" s="43" t="s">
        <v>4188</v>
      </c>
    </row>
    <row r="90" spans="1:2" x14ac:dyDescent="0.2">
      <c r="A90" s="43" t="s">
        <v>4189</v>
      </c>
      <c r="B90" s="43" t="s">
        <v>4190</v>
      </c>
    </row>
  </sheetData>
  <sheetProtection sheet="1" objects="1" scenarios="1" formatCells="0" formatColumns="0" formatRows="0"/>
  <phoneticPr fontId="68" type="noConversion"/>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8"/>
  <sheetViews>
    <sheetView zoomScaleNormal="100" workbookViewId="0">
      <pane ySplit="4" topLeftCell="A5" activePane="bottomLeft" state="frozen"/>
      <selection pane="bottomLeft" activeCell="D42" sqref="D42:K42"/>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0</v>
      </c>
      <c r="P1" s="90"/>
      <c r="R1" s="89" t="s">
        <v>0</v>
      </c>
      <c r="S1" s="89" t="s">
        <v>0</v>
      </c>
      <c r="T1" s="89" t="s">
        <v>0</v>
      </c>
      <c r="U1" s="89" t="s">
        <v>0</v>
      </c>
    </row>
    <row r="2" spans="1:21" ht="14.1" customHeight="1" thickBot="1" x14ac:dyDescent="0.3">
      <c r="B2" s="1073" t="str">
        <f>Translations!$B$10</f>
        <v>Table of contents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ADDRESS(ROW($B$6),COLUMN($B$6)) &amp; ":" &amp; ADDRESS(MATCH("PRINT",$P:$P,0),COLUMN($O$6))</f>
        <v>$B$6:$O$65</v>
      </c>
      <c r="T2" s="89" t="s">
        <v>2</v>
      </c>
      <c r="U2" s="102" t="str">
        <f ca="1">IF(ISERROR(CELL("filename",V2)),"MSParameters",MID(CELL("filename",V2),FIND("]",CELL("filename",V2))+1,1024))</f>
        <v>a_Contents</v>
      </c>
    </row>
    <row r="3" spans="1:21" ht="14.1" customHeight="1" x14ac:dyDescent="0.25">
      <c r="B3" s="1076"/>
      <c r="C3" s="1077"/>
      <c r="D3" s="1078"/>
      <c r="E3" s="1068"/>
      <c r="F3" s="1068"/>
      <c r="G3" s="1068"/>
      <c r="H3" s="1068"/>
      <c r="I3" s="1068"/>
      <c r="J3" s="1068"/>
      <c r="K3" s="1068"/>
      <c r="L3" s="1068"/>
      <c r="M3" s="1068"/>
      <c r="N3" s="1068"/>
    </row>
    <row r="4" spans="1:21" ht="14.1" customHeight="1" thickBot="1" x14ac:dyDescent="0.3">
      <c r="B4" s="1079"/>
      <c r="C4" s="1080"/>
      <c r="D4" s="1081"/>
      <c r="E4" s="1068"/>
      <c r="F4" s="1068"/>
      <c r="G4" s="1068"/>
      <c r="H4" s="1068"/>
      <c r="I4" s="1068"/>
      <c r="J4" s="1068"/>
      <c r="K4" s="1068"/>
      <c r="L4" s="1068"/>
      <c r="M4" s="1068"/>
      <c r="N4" s="1068"/>
    </row>
    <row r="5" spans="1:21" ht="5.0999999999999996" customHeight="1" x14ac:dyDescent="0.25"/>
    <row r="6" spans="1:21" s="95" customFormat="1" ht="20.100000000000001" customHeight="1" x14ac:dyDescent="0.25">
      <c r="A6" s="94"/>
      <c r="C6" s="106" t="str">
        <f>Translations!$B$12</f>
        <v>Sheet "Table of contents"</v>
      </c>
      <c r="P6" s="96"/>
      <c r="R6" s="94"/>
      <c r="S6" s="94"/>
      <c r="T6" s="94"/>
      <c r="U6" s="94"/>
    </row>
    <row r="8" spans="1:21" s="98" customFormat="1" ht="12.75" customHeight="1" x14ac:dyDescent="0.25">
      <c r="A8" s="97"/>
      <c r="C8" s="99" t="s">
        <v>8</v>
      </c>
      <c r="D8" s="1090" t="str">
        <f ca="1">HYPERLINK("#"&amp;S8,INDIRECT(S8))</f>
        <v>Sheet "Version history"</v>
      </c>
      <c r="E8" s="1089"/>
      <c r="F8" s="1089"/>
      <c r="G8" s="1089"/>
      <c r="H8" s="1089"/>
      <c r="I8" s="1089"/>
      <c r="J8" s="1089"/>
      <c r="K8" s="1089"/>
      <c r="P8" s="100"/>
      <c r="R8" s="89"/>
      <c r="S8" s="372" t="str">
        <f ca="1">ADDRESS(6,3,,,T8)</f>
        <v>'0_Versions'!$C$6</v>
      </c>
      <c r="T8" s="97" t="str">
        <f ca="1">'0_Versions'!$U$2</f>
        <v>0_Versions</v>
      </c>
      <c r="U8" s="97"/>
    </row>
    <row r="9" spans="1:21" ht="5.0999999999999996" customHeight="1" x14ac:dyDescent="0.25"/>
    <row r="10" spans="1:21" s="98" customFormat="1" ht="12.75" customHeight="1" x14ac:dyDescent="0.25">
      <c r="A10" s="97"/>
      <c r="C10" s="99" t="s">
        <v>9</v>
      </c>
      <c r="D10" s="1090" t="str">
        <f ca="1">HYPERLINK("#"&amp;S10,INDIRECT(S10))</f>
        <v>Sheet "Table of contents"</v>
      </c>
      <c r="E10" s="1089"/>
      <c r="F10" s="1089"/>
      <c r="G10" s="1089"/>
      <c r="H10" s="1089"/>
      <c r="I10" s="1089"/>
      <c r="J10" s="1089"/>
      <c r="K10" s="1089"/>
      <c r="P10" s="100"/>
      <c r="R10" s="89"/>
      <c r="S10" s="372" t="str">
        <f ca="1">ADDRESS(6,3,,,T10)</f>
        <v>a_Contents!$C$6</v>
      </c>
      <c r="T10" s="97" t="str">
        <f ca="1">$U$2</f>
        <v>a_Contents</v>
      </c>
      <c r="U10" s="97"/>
    </row>
    <row r="11" spans="1:21" ht="5.0999999999999996" customHeight="1" x14ac:dyDescent="0.25"/>
    <row r="12" spans="1:21" s="98" customFormat="1" ht="12.75" customHeight="1" x14ac:dyDescent="0.25">
      <c r="A12" s="97"/>
      <c r="C12" s="99" t="s">
        <v>10</v>
      </c>
      <c r="D12" s="1090" t="str">
        <f ca="1">HYPERLINK("#"&amp;S12,INDIRECT(S12))</f>
        <v>Sheet "Guidelines &amp; conditions"</v>
      </c>
      <c r="E12" s="1089"/>
      <c r="F12" s="1089"/>
      <c r="G12" s="1089"/>
      <c r="H12" s="1089"/>
      <c r="I12" s="1089"/>
      <c r="J12" s="1089"/>
      <c r="K12" s="1089"/>
      <c r="P12" s="100"/>
      <c r="R12" s="89"/>
      <c r="S12" s="372" t="str">
        <f ca="1">ADDRESS(6,3,,,T12)</f>
        <v>'b_Guidelines&amp;Conditions'!$C$6</v>
      </c>
      <c r="T12" s="97" t="str">
        <f ca="1">'b_Guidelines&amp;Conditions'!$U$2</f>
        <v>b_Guidelines&amp;Conditions</v>
      </c>
      <c r="U12" s="97"/>
    </row>
    <row r="13" spans="1:21" ht="5.0999999999999996" customHeight="1" x14ac:dyDescent="0.25"/>
    <row r="14" spans="1:21" s="98" customFormat="1" ht="12.75" customHeight="1" x14ac:dyDescent="0.25">
      <c r="A14" s="97"/>
      <c r="C14" s="99" t="s">
        <v>11</v>
      </c>
      <c r="D14" s="1090" t="str">
        <f ca="1">HYPERLINK("#"&amp;S14,INDIRECT(S14))</f>
        <v>Sheet "Code Lists"</v>
      </c>
      <c r="E14" s="1089"/>
      <c r="F14" s="1089"/>
      <c r="G14" s="1089"/>
      <c r="H14" s="1089"/>
      <c r="I14" s="1089"/>
      <c r="J14" s="1089"/>
      <c r="K14" s="1089"/>
      <c r="P14" s="100"/>
      <c r="R14" s="89"/>
      <c r="S14" s="372" t="str">
        <f ca="1">ADDRESS(6,3,,,T14)</f>
        <v>c_CodeLists!$C$6</v>
      </c>
      <c r="T14" s="97" t="str">
        <f ca="1">c_CodeLists!$U$2</f>
        <v>c_CodeLists</v>
      </c>
      <c r="U14" s="97"/>
    </row>
    <row r="15" spans="1:21" ht="5.0999999999999996" customHeight="1" x14ac:dyDescent="0.25"/>
    <row r="16" spans="1:21" s="98" customFormat="1" ht="12.75" customHeight="1" x14ac:dyDescent="0.25">
      <c r="A16" s="97"/>
      <c r="C16" s="99" t="s">
        <v>12</v>
      </c>
      <c r="D16" s="1090" t="str">
        <f ca="1">HYPERLINK("#"&amp;S16,INDIRECT(S16))</f>
        <v xml:space="preserve">Sheet "A_InstData" - General information, production processes and purchased precursors </v>
      </c>
      <c r="E16" s="1089"/>
      <c r="F16" s="1089"/>
      <c r="G16" s="1089"/>
      <c r="H16" s="1089"/>
      <c r="I16" s="1089"/>
      <c r="J16" s="1089"/>
      <c r="K16" s="1089"/>
      <c r="P16" s="100"/>
      <c r="R16" s="89"/>
      <c r="S16" s="372" t="str">
        <f ca="1">ADDRESS(6,5,,,T16)</f>
        <v>A_InstData!$E$6</v>
      </c>
      <c r="T16" s="97" t="str">
        <f ca="1">A_InstData!$U$2</f>
        <v>A_InstData</v>
      </c>
      <c r="U16" s="97"/>
    </row>
    <row r="17" spans="1:21" ht="12.75" customHeight="1" x14ac:dyDescent="0.25">
      <c r="C17" s="99"/>
      <c r="D17" s="101">
        <v>1</v>
      </c>
      <c r="E17" s="1088" t="str">
        <f ca="1">HYPERLINK("#"&amp;S17,INDIRECT(S17))</f>
        <v>Reporting period</v>
      </c>
      <c r="F17" s="1089"/>
      <c r="G17" s="1089"/>
      <c r="H17" s="1089"/>
      <c r="I17" s="1089"/>
      <c r="J17" s="1089"/>
      <c r="K17" s="1089"/>
      <c r="S17" s="373" t="str">
        <f ca="1">ADDRESS(MATCH(D17,INDIRECT("'"&amp; T17 &amp; "'!A:A")),4,,,T17)</f>
        <v>A_InstData!$D$9</v>
      </c>
      <c r="T17" s="89" t="str">
        <f ca="1">T16</f>
        <v>A_InstData</v>
      </c>
    </row>
    <row r="18" spans="1:21" ht="12.75" customHeight="1" x14ac:dyDescent="0.25">
      <c r="C18" s="99"/>
      <c r="D18" s="101">
        <v>2</v>
      </c>
      <c r="E18" s="1088" t="str">
        <f ca="1">HYPERLINK("#"&amp;S18,INDIRECT(S18))</f>
        <v>About the installation</v>
      </c>
      <c r="F18" s="1089"/>
      <c r="G18" s="1089"/>
      <c r="H18" s="1089"/>
      <c r="I18" s="1089"/>
      <c r="J18" s="1089"/>
      <c r="K18" s="1089"/>
      <c r="S18" s="373" t="str">
        <f ca="1">ADDRESS(MATCH(D18,INDIRECT("'"&amp; T18 &amp; "'!A:A")),4,,,T18)</f>
        <v>A_InstData!$D$17</v>
      </c>
      <c r="T18" s="89" t="str">
        <f ca="1">T17</f>
        <v>A_InstData</v>
      </c>
    </row>
    <row r="19" spans="1:21" ht="12.75" customHeight="1" x14ac:dyDescent="0.25">
      <c r="C19" s="99"/>
      <c r="D19" s="101">
        <v>3</v>
      </c>
      <c r="E19" s="1088" t="str">
        <f ca="1">HYPERLINK("#"&amp;S19,INDIRECT(S19))</f>
        <v>Verifier of the report – only if available and not required during transitional period</v>
      </c>
      <c r="F19" s="1089"/>
      <c r="G19" s="1089"/>
      <c r="H19" s="1089"/>
      <c r="I19" s="1089"/>
      <c r="J19" s="1089"/>
      <c r="K19" s="1089"/>
      <c r="S19" s="373" t="str">
        <f ca="1">ADDRESS(MATCH(D19,INDIRECT("'"&amp; T19 &amp; "'!A:A")),4,,,T19)</f>
        <v>A_InstData!$D$34</v>
      </c>
      <c r="T19" s="89" t="str">
        <f ca="1">T18</f>
        <v>A_InstData</v>
      </c>
    </row>
    <row r="20" spans="1:21" ht="12.75" customHeight="1" x14ac:dyDescent="0.25">
      <c r="C20" s="99"/>
      <c r="D20" s="101">
        <v>4</v>
      </c>
      <c r="E20" s="1088" t="str">
        <f ca="1">HYPERLINK("#"&amp;S20,INDIRECT(S20))</f>
        <v>Aggregated goods categories and relevant production processes</v>
      </c>
      <c r="F20" s="1089"/>
      <c r="G20" s="1089"/>
      <c r="H20" s="1089"/>
      <c r="I20" s="1089"/>
      <c r="J20" s="1089"/>
      <c r="K20" s="1089"/>
      <c r="S20" s="373" t="str">
        <f ca="1">ADDRESS(MATCH(D20,INDIRECT("'"&amp; T20 &amp; "'!A:A")),4,,,T20)</f>
        <v>A_InstData!$D$55</v>
      </c>
      <c r="T20" s="89" t="str">
        <f ca="1">T19</f>
        <v>A_InstData</v>
      </c>
    </row>
    <row r="21" spans="1:21" ht="12.75" customHeight="1" x14ac:dyDescent="0.25">
      <c r="C21" s="99"/>
      <c r="D21" s="101">
        <v>5</v>
      </c>
      <c r="E21" s="1088" t="str">
        <f ca="1">HYPERLINK("#"&amp;S21,INDIRECT(S21))</f>
        <v>Purchased precursors</v>
      </c>
      <c r="F21" s="1089"/>
      <c r="G21" s="1089"/>
      <c r="H21" s="1089"/>
      <c r="I21" s="1089"/>
      <c r="J21" s="1089"/>
      <c r="K21" s="1089"/>
      <c r="S21" s="373" t="str">
        <f ca="1">ADDRESS(MATCH(D21,INDIRECT("'"&amp; T21 &amp; "'!A:A")),4,,,T21)</f>
        <v>A_InstData!$D$95</v>
      </c>
      <c r="T21" s="89" t="str">
        <f ca="1">T20</f>
        <v>A_InstData</v>
      </c>
    </row>
    <row r="22" spans="1:21" ht="5.0999999999999996" customHeight="1" x14ac:dyDescent="0.25">
      <c r="C22" s="99"/>
      <c r="D22" s="103"/>
    </row>
    <row r="23" spans="1:21" s="98" customFormat="1" ht="12.75" customHeight="1" x14ac:dyDescent="0.25">
      <c r="A23" s="97"/>
      <c r="C23" s="99" t="s">
        <v>13</v>
      </c>
      <c r="D23" s="1090" t="str">
        <f ca="1">HYPERLINK("#"&amp;S23,INDIRECT(S23))</f>
        <v>Sheet "B_EmInst" - Installation's emission at source stream and emission source level</v>
      </c>
      <c r="E23" s="1089"/>
      <c r="F23" s="1089"/>
      <c r="G23" s="1089"/>
      <c r="H23" s="1089"/>
      <c r="I23" s="1089"/>
      <c r="J23" s="1089"/>
      <c r="K23" s="1089"/>
      <c r="P23" s="100"/>
      <c r="R23" s="97"/>
      <c r="S23" s="372" t="str">
        <f ca="1">ADDRESS(6,4,,,T23)</f>
        <v>B_EmInst!$D$6</v>
      </c>
      <c r="T23" s="97" t="str">
        <f ca="1">B_EmInst!$BD$2</f>
        <v>B_EmInst</v>
      </c>
      <c r="U23" s="97"/>
    </row>
    <row r="24" spans="1:21" ht="12.75" customHeight="1" x14ac:dyDescent="0.25">
      <c r="C24" s="99"/>
      <c r="D24" s="101">
        <v>1</v>
      </c>
      <c r="E24" s="1088" t="str">
        <f ca="1">HYPERLINK("#"&amp;S24,INDIRECT(S24))</f>
        <v>Source Streams (excluding PFC emissions)</v>
      </c>
      <c r="F24" s="1089"/>
      <c r="G24" s="1089"/>
      <c r="H24" s="1089"/>
      <c r="I24" s="1089"/>
      <c r="J24" s="1089"/>
      <c r="K24" s="1089"/>
      <c r="S24" s="373" t="str">
        <f ca="1">ADDRESS(MATCH(D24,INDIRECT("'"&amp; T24 &amp; "'!A:A")),4,,,T24)</f>
        <v>B_EmInst!$D$12</v>
      </c>
      <c r="T24" s="89" t="str">
        <f ca="1">T23</f>
        <v>B_EmInst</v>
      </c>
    </row>
    <row r="25" spans="1:21" ht="12.75" customHeight="1" x14ac:dyDescent="0.25">
      <c r="C25" s="99"/>
      <c r="D25" s="101">
        <v>2</v>
      </c>
      <c r="E25" s="1088" t="str">
        <f ca="1">HYPERLINK("#"&amp;S25,INDIRECT(S25))</f>
        <v>PFC Emissions</v>
      </c>
      <c r="F25" s="1089"/>
      <c r="G25" s="1089"/>
      <c r="H25" s="1089"/>
      <c r="I25" s="1089"/>
      <c r="J25" s="1089"/>
      <c r="K25" s="1089"/>
      <c r="S25" s="373" t="str">
        <f ca="1">ADDRESS(MATCH(D25,INDIRECT("'"&amp; T25 &amp; "'!A:A")),4,,,T25)</f>
        <v>B_EmInst!$D$95</v>
      </c>
      <c r="T25" s="89" t="str">
        <f ca="1">T24</f>
        <v>B_EmInst</v>
      </c>
    </row>
    <row r="26" spans="1:21" ht="12.75" customHeight="1" x14ac:dyDescent="0.25">
      <c r="C26" s="99"/>
      <c r="D26" s="101">
        <v>3</v>
      </c>
      <c r="E26" s="1088" t="str">
        <f ca="1">HYPERLINK("#"&amp;S26,INDIRECT(S26))</f>
        <v>Emissions Sources (Measurement-Based Approaches)</v>
      </c>
      <c r="F26" s="1089"/>
      <c r="G26" s="1089"/>
      <c r="H26" s="1089"/>
      <c r="I26" s="1089"/>
      <c r="J26" s="1089"/>
      <c r="K26" s="1089"/>
      <c r="S26" s="373" t="str">
        <f ca="1">ADDRESS(MATCH(D26,INDIRECT("'"&amp; T26 &amp; "'!A:A")),4,,,T26)</f>
        <v>B_EmInst!$D$109</v>
      </c>
      <c r="T26" s="89" t="str">
        <f ca="1">T25</f>
        <v>B_EmInst</v>
      </c>
    </row>
    <row r="27" spans="1:21" ht="5.0999999999999996" customHeight="1" x14ac:dyDescent="0.25">
      <c r="C27" s="99"/>
      <c r="D27" s="103"/>
    </row>
    <row r="28" spans="1:21" s="98" customFormat="1" ht="12.75" customHeight="1" x14ac:dyDescent="0.25">
      <c r="A28" s="97"/>
      <c r="C28" s="99" t="s">
        <v>14</v>
      </c>
      <c r="D28" s="1090" t="str">
        <f ca="1">HYPERLINK("#"&amp;S28,INDIRECT(S28))</f>
        <v>Sheet "C_Emissions&amp;Energy" - Installation-level GHG emissions and energy consumption</v>
      </c>
      <c r="E28" s="1090"/>
      <c r="F28" s="1090"/>
      <c r="G28" s="1090"/>
      <c r="H28" s="1090"/>
      <c r="I28" s="1090"/>
      <c r="J28" s="1090"/>
      <c r="K28" s="1090"/>
      <c r="P28" s="100"/>
      <c r="R28" s="97"/>
      <c r="S28" s="372" t="str">
        <f ca="1">ADDRESS(6,5,,,T28)</f>
        <v>'C_Emissions&amp;Energy'!$E$6</v>
      </c>
      <c r="T28" s="97" t="str">
        <f ca="1">'C_Emissions&amp;Energy'!$U$2</f>
        <v>C_Emissions&amp;Energy</v>
      </c>
      <c r="U28" s="97"/>
    </row>
    <row r="29" spans="1:21" ht="12.75" customHeight="1" x14ac:dyDescent="0.25">
      <c r="C29" s="99"/>
      <c r="D29" s="101">
        <v>1</v>
      </c>
      <c r="E29" s="1088" t="str">
        <f ca="1">HYPERLINK("#"&amp;S29,INDIRECT(S29))</f>
        <v>Fuel balance</v>
      </c>
      <c r="F29" s="1089"/>
      <c r="G29" s="1089"/>
      <c r="H29" s="1089"/>
      <c r="I29" s="1089"/>
      <c r="J29" s="1089"/>
      <c r="K29" s="1089"/>
      <c r="S29" s="373" t="str">
        <f ca="1">ADDRESS(MATCH(D29,INDIRECT("'"&amp; T29 &amp; "'!A:A")),4,,,T29)</f>
        <v>'C_Emissions&amp;Energy'!$D$8</v>
      </c>
      <c r="T29" s="89" t="str">
        <f ca="1">T28</f>
        <v>C_Emissions&amp;Energy</v>
      </c>
    </row>
    <row r="30" spans="1:21" ht="12.75" customHeight="1" x14ac:dyDescent="0.25">
      <c r="C30" s="99"/>
      <c r="D30" s="101">
        <v>2</v>
      </c>
      <c r="E30" s="1088" t="str">
        <f ca="1">HYPERLINK("#"&amp;S30,INDIRECT(S30))</f>
        <v>Greenhouse gas emissions balance &amp; information on data quality</v>
      </c>
      <c r="F30" s="1089"/>
      <c r="G30" s="1089"/>
      <c r="H30" s="1089"/>
      <c r="I30" s="1089"/>
      <c r="J30" s="1089"/>
      <c r="K30" s="1089"/>
      <c r="S30" s="373" t="str">
        <f ca="1">ADDRESS(MATCH(D30,INDIRECT("'"&amp; T30 &amp; "'!A:A")),4,,,T30)</f>
        <v>'C_Emissions&amp;Energy'!$D$19</v>
      </c>
      <c r="T30" s="89" t="str">
        <f ca="1">T29</f>
        <v>C_Emissions&amp;Energy</v>
      </c>
    </row>
    <row r="31" spans="1:21" ht="5.0999999999999996" customHeight="1" x14ac:dyDescent="0.25">
      <c r="C31" s="99"/>
      <c r="D31" s="103"/>
    </row>
    <row r="32" spans="1:21" s="98" customFormat="1" ht="12.75" customHeight="1" x14ac:dyDescent="0.25">
      <c r="A32" s="97"/>
      <c r="C32" s="99" t="s">
        <v>15</v>
      </c>
      <c r="D32" s="1090" t="str">
        <f ca="1">HYPERLINK("#"&amp;S32,INDIRECT(S32))</f>
        <v>Sheet "D_Processes" - Production level and attributed emissions for SEE calculation</v>
      </c>
      <c r="E32" s="1089"/>
      <c r="F32" s="1089"/>
      <c r="G32" s="1089"/>
      <c r="H32" s="1089"/>
      <c r="I32" s="1089"/>
      <c r="J32" s="1089"/>
      <c r="K32" s="1089"/>
      <c r="P32" s="100"/>
      <c r="R32" s="97"/>
      <c r="S32" s="372" t="str">
        <f ca="1">ADDRESS(7,5,,,T32)</f>
        <v>D_Processes!$E$7</v>
      </c>
      <c r="T32" s="97" t="str">
        <f ca="1">D_Processes!$U$2</f>
        <v>D_Processes</v>
      </c>
      <c r="U32" s="97"/>
    </row>
    <row r="33" spans="3:20" ht="12.75" customHeight="1" x14ac:dyDescent="0.25">
      <c r="C33" s="99"/>
      <c r="D33" s="101">
        <v>1</v>
      </c>
      <c r="E33" s="1088" t="str">
        <f ca="1">HYPERLINK("#"&amp;S33,INDIRECT(S33))</f>
        <v>Data input for the determination of the specific embedded emissions</v>
      </c>
      <c r="F33" s="1089"/>
      <c r="G33" s="1089"/>
      <c r="H33" s="1089"/>
      <c r="I33" s="1089"/>
      <c r="J33" s="1089"/>
      <c r="K33" s="1089"/>
      <c r="S33" s="373" t="str">
        <f ca="1">ADDRESS(MATCH(D33,INDIRECT("'"&amp; T33 &amp; "'!A:A")),4,,,T33)</f>
        <v>D_Processes!$D$9</v>
      </c>
      <c r="T33" s="89" t="str">
        <f ca="1">T32</f>
        <v>D_Processes</v>
      </c>
    </row>
    <row r="34" spans="3:20" ht="5.0999999999999996" customHeight="1" x14ac:dyDescent="0.25">
      <c r="E34" s="374"/>
    </row>
    <row r="35" spans="3:20" ht="12.75" customHeight="1" x14ac:dyDescent="0.25">
      <c r="C35" s="99" t="s">
        <v>16</v>
      </c>
      <c r="D35" s="1090" t="str">
        <f ca="1">HYPERLINK("#"&amp;S35,INDIRECT(S35))</f>
        <v>Sheet "E_PurchPrec" - Purchased precursors for SEE calculation</v>
      </c>
      <c r="E35" s="1089"/>
      <c r="F35" s="1089"/>
      <c r="G35" s="1089"/>
      <c r="H35" s="1089"/>
      <c r="I35" s="1089"/>
      <c r="J35" s="1089"/>
      <c r="K35" s="1089"/>
      <c r="S35" s="372" t="str">
        <f ca="1">ADDRESS(7,5,,,T35)</f>
        <v>E_PurchPrec!$E$7</v>
      </c>
      <c r="T35" s="97" t="str">
        <f ca="1">E_PurchPrec!$U$2</f>
        <v>E_PurchPrec</v>
      </c>
    </row>
    <row r="36" spans="3:20" ht="12.75" customHeight="1" x14ac:dyDescent="0.25">
      <c r="C36" s="99"/>
      <c r="D36" s="101">
        <v>1</v>
      </c>
      <c r="E36" s="1088" t="str">
        <f ca="1">HYPERLINK("#"&amp;S36,INDIRECT(S36))</f>
        <v>Data input for the determination of the specific embedded emissions</v>
      </c>
      <c r="F36" s="1089"/>
      <c r="G36" s="1089"/>
      <c r="H36" s="1089"/>
      <c r="I36" s="1089"/>
      <c r="J36" s="1089"/>
      <c r="K36" s="1089"/>
      <c r="S36" s="373" t="str">
        <f ca="1">ADDRESS(MATCH(D36,INDIRECT("'"&amp; T36 &amp; "'!A:A")),4,,,T36)</f>
        <v>E_PurchPrec!$D$9</v>
      </c>
      <c r="T36" s="89" t="str">
        <f ca="1">T35</f>
        <v>E_PurchPrec</v>
      </c>
    </row>
    <row r="37" spans="3:20" ht="5.0999999999999996" customHeight="1" x14ac:dyDescent="0.25">
      <c r="D37" s="103"/>
    </row>
    <row r="38" spans="3:20" ht="12.75" customHeight="1" x14ac:dyDescent="0.25">
      <c r="C38" s="99" t="s">
        <v>17</v>
      </c>
      <c r="D38" s="1090" t="str">
        <f ca="1">HYPERLINK("#"&amp;S38,INDIRECT(S38))</f>
        <v>Sheet "F_Tools" - Tools for facilitating reporting</v>
      </c>
      <c r="E38" s="1089"/>
      <c r="F38" s="1089"/>
      <c r="G38" s="1089"/>
      <c r="H38" s="1089"/>
      <c r="I38" s="1089"/>
      <c r="J38" s="1089"/>
      <c r="K38" s="1089"/>
      <c r="S38" s="372" t="str">
        <f ca="1">ADDRESS(6,5,,,T38)</f>
        <v>F_Tools!$E$6</v>
      </c>
      <c r="T38" s="97" t="str">
        <f ca="1">F_Tools!$U$2</f>
        <v>F_Tools</v>
      </c>
    </row>
    <row r="39" spans="3:20" ht="12.75" customHeight="1" x14ac:dyDescent="0.25">
      <c r="C39" s="99"/>
      <c r="D39" s="101">
        <v>1</v>
      </c>
      <c r="E39" s="1088" t="str">
        <f ca="1">HYPERLINK("#"&amp;S39,INDIRECT(S39))</f>
        <v>Cogeneration Tool</v>
      </c>
      <c r="F39" s="1089"/>
      <c r="G39" s="1089"/>
      <c r="H39" s="1089"/>
      <c r="I39" s="1089"/>
      <c r="J39" s="1089"/>
      <c r="K39" s="1089"/>
      <c r="S39" s="373" t="str">
        <f ca="1">ADDRESS(MATCH(D39,INDIRECT("'"&amp; T39 &amp; "'!A:A")),4,,,T39)</f>
        <v>F_Tools!$D$8</v>
      </c>
      <c r="T39" s="89" t="str">
        <f ca="1">T38</f>
        <v>F_Tools</v>
      </c>
    </row>
    <row r="40" spans="3:20" ht="12.75" customHeight="1" x14ac:dyDescent="0.25">
      <c r="D40" s="101">
        <v>2</v>
      </c>
      <c r="E40" s="1088" t="str">
        <f ca="1">HYPERLINK("#"&amp;S40,INDIRECT(S40))</f>
        <v>Tool to calculate the carbon price due</v>
      </c>
      <c r="F40" s="1089"/>
      <c r="G40" s="1089"/>
      <c r="H40" s="1089"/>
      <c r="I40" s="1089"/>
      <c r="J40" s="1089"/>
      <c r="K40" s="1089"/>
      <c r="S40" s="373" t="str">
        <f ca="1">ADDRESS(MATCH(D40,INDIRECT("'"&amp; T40 &amp; "'!A:A")),4,,,T40)</f>
        <v>F_Tools!$D$81</v>
      </c>
      <c r="T40" s="89" t="str">
        <f ca="1">T39</f>
        <v>F_Tools</v>
      </c>
    </row>
    <row r="41" spans="3:20" ht="5.0999999999999996" customHeight="1" x14ac:dyDescent="0.25">
      <c r="D41" s="103"/>
    </row>
    <row r="42" spans="3:20" ht="12.75" customHeight="1" x14ac:dyDescent="0.25">
      <c r="C42" s="99" t="s">
        <v>18</v>
      </c>
      <c r="D42" s="1090" t="str">
        <f ca="1">HYPERLINK("#"&amp;S42,INDIRECT(S42))</f>
        <v>Sheet "G_FurtherGuidance" - Further guidance on specific sections in this template</v>
      </c>
      <c r="E42" s="1089"/>
      <c r="F42" s="1089"/>
      <c r="G42" s="1089"/>
      <c r="H42" s="1089"/>
      <c r="I42" s="1089"/>
      <c r="J42" s="1089"/>
      <c r="K42" s="1089"/>
      <c r="S42" s="372" t="str">
        <f ca="1">ADDRESS(6,5,,,T42)</f>
        <v>G_FurtherGuidance!$E$6</v>
      </c>
      <c r="T42" s="97" t="str">
        <f ca="1">G_FurtherGuidance!$U$2</f>
        <v>G_FurtherGuidance</v>
      </c>
    </row>
    <row r="43" spans="3:20" ht="12.75" customHeight="1" x14ac:dyDescent="0.25">
      <c r="C43" s="99"/>
      <c r="D43" s="101">
        <v>1</v>
      </c>
      <c r="E43" s="1088" t="str">
        <f ca="1">HYPERLINK("#"&amp;S43,INDIRECT(S43))</f>
        <v>General guidance</v>
      </c>
      <c r="F43" s="1089"/>
      <c r="G43" s="1089"/>
      <c r="H43" s="1089"/>
      <c r="I43" s="1089"/>
      <c r="J43" s="1089"/>
      <c r="K43" s="1089"/>
      <c r="S43" s="373" t="str">
        <f ca="1">ADDRESS(MATCH(D43,INDIRECT("'"&amp; T43 &amp; "'!A:A")),4,,,T43)</f>
        <v>G_FurtherGuidance!$D$8</v>
      </c>
      <c r="T43" s="89" t="str">
        <f ca="1">T42</f>
        <v>G_FurtherGuidance</v>
      </c>
    </row>
    <row r="44" spans="3:20" ht="12.75" customHeight="1" x14ac:dyDescent="0.25">
      <c r="D44" s="101">
        <v>2</v>
      </c>
      <c r="E44" s="1088" t="str">
        <f ca="1">HYPERLINK("#"&amp;S44,INDIRECT(S44))</f>
        <v>Source streams and emission sources</v>
      </c>
      <c r="F44" s="1089"/>
      <c r="G44" s="1089"/>
      <c r="H44" s="1089"/>
      <c r="I44" s="1089"/>
      <c r="J44" s="1089"/>
      <c r="K44" s="1089"/>
      <c r="S44" s="373" t="str">
        <f ca="1">ADDRESS(MATCH(D44,INDIRECT("'"&amp; T44 &amp; "'!A:A")),4,,,T44)</f>
        <v>G_FurtherGuidance!$D$17</v>
      </c>
      <c r="T44" s="89" t="str">
        <f ca="1">T43</f>
        <v>G_FurtherGuidance</v>
      </c>
    </row>
    <row r="45" spans="3:20" ht="12.75" customHeight="1" x14ac:dyDescent="0.25">
      <c r="D45" s="101">
        <v>3</v>
      </c>
      <c r="E45" s="1088" t="str">
        <f ca="1">HYPERLINK("#"&amp;S45,INDIRECT(S45))</f>
        <v>Attribution of emissions to production processes</v>
      </c>
      <c r="F45" s="1089"/>
      <c r="G45" s="1089"/>
      <c r="H45" s="1089"/>
      <c r="I45" s="1089"/>
      <c r="J45" s="1089"/>
      <c r="K45" s="1089"/>
      <c r="S45" s="373" t="str">
        <f ca="1">ADDRESS(MATCH(D45,INDIRECT("'"&amp; T45 &amp; "'!A:A")),4,,,T45)</f>
        <v>G_FurtherGuidance!$D$65</v>
      </c>
      <c r="T45" s="89" t="str">
        <f ca="1">T44</f>
        <v>G_FurtherGuidance</v>
      </c>
    </row>
    <row r="46" spans="3:20" ht="12.75" customHeight="1" x14ac:dyDescent="0.25">
      <c r="D46" s="101">
        <v>4</v>
      </c>
      <c r="E46" s="1088" t="str">
        <f ca="1">HYPERLINK("#"&amp;S46,INDIRECT(S46))</f>
        <v>Summary of products</v>
      </c>
      <c r="F46" s="1089"/>
      <c r="G46" s="1089"/>
      <c r="H46" s="1089"/>
      <c r="I46" s="1089"/>
      <c r="J46" s="1089"/>
      <c r="K46" s="1089"/>
      <c r="S46" s="373" t="str">
        <f ca="1">ADDRESS(MATCH(D46,INDIRECT("'"&amp; T46 &amp; "'!A:A")),4,,,T46)</f>
        <v>G_FurtherGuidance!$D$106</v>
      </c>
      <c r="T46" s="89" t="str">
        <f ca="1">T45</f>
        <v>G_FurtherGuidance</v>
      </c>
    </row>
    <row r="47" spans="3:20" ht="5.0999999999999996" customHeight="1" x14ac:dyDescent="0.25">
      <c r="D47" s="103"/>
    </row>
    <row r="48" spans="3:20" ht="5.0999999999999996" customHeight="1" x14ac:dyDescent="0.25">
      <c r="C48" s="510"/>
      <c r="D48" s="508"/>
      <c r="E48" s="510"/>
      <c r="F48" s="510"/>
      <c r="G48" s="510"/>
      <c r="H48" s="510"/>
      <c r="I48" s="510"/>
      <c r="J48" s="510"/>
      <c r="K48" s="510"/>
    </row>
    <row r="49" spans="3:20" ht="12.75" customHeight="1" x14ac:dyDescent="0.25">
      <c r="C49" s="510"/>
      <c r="D49" s="1087" t="str">
        <f>Translations!$B$13</f>
        <v>The following two sheets summarise the results at process and product level, respectively:</v>
      </c>
      <c r="E49" s="1087"/>
      <c r="F49" s="1087"/>
      <c r="G49" s="1087"/>
      <c r="H49" s="1087"/>
      <c r="I49" s="1087"/>
      <c r="J49" s="1087"/>
      <c r="K49" s="1087"/>
    </row>
    <row r="50" spans="3:20" x14ac:dyDescent="0.25">
      <c r="C50" s="510"/>
      <c r="D50" s="1086" t="str">
        <f ca="1">HYPERLINK("#"&amp;S50,INDIRECT(S50))</f>
        <v>Summary of production processes</v>
      </c>
      <c r="E50" s="1086"/>
      <c r="F50" s="1086"/>
      <c r="G50" s="1086"/>
      <c r="H50" s="1086"/>
      <c r="I50" s="1086"/>
      <c r="J50" s="1086"/>
      <c r="K50" s="1086"/>
      <c r="S50" s="372" t="str">
        <f ca="1">ADDRESS(2,3,,,T50)</f>
        <v>Summary_Processes!$C$2</v>
      </c>
      <c r="T50" s="97" t="str">
        <f ca="1">Summary_Processes!$Y$2</f>
        <v>Summary_Processes</v>
      </c>
    </row>
    <row r="51" spans="3:20" x14ac:dyDescent="0.25">
      <c r="C51" s="510"/>
      <c r="D51" s="1086" t="str">
        <f ca="1">HYPERLINK("#"&amp;S51,INDIRECT(S51))</f>
        <v>Summary of products</v>
      </c>
      <c r="E51" s="1086"/>
      <c r="F51" s="1086"/>
      <c r="G51" s="1086"/>
      <c r="H51" s="1086"/>
      <c r="I51" s="1086"/>
      <c r="J51" s="1086"/>
      <c r="K51" s="1086"/>
      <c r="S51" s="372" t="str">
        <f ca="1">ADDRESS(2,2,,,T51)</f>
        <v>Summary_Products!$B$2</v>
      </c>
      <c r="T51" s="97" t="str">
        <f ca="1">Summary_Products!$BF$2</f>
        <v>Summary_Products</v>
      </c>
    </row>
    <row r="52" spans="3:20" ht="5.0999999999999996" customHeight="1" x14ac:dyDescent="0.25">
      <c r="C52" s="510"/>
      <c r="D52" s="514"/>
      <c r="E52" s="515"/>
      <c r="F52" s="510"/>
      <c r="G52" s="510"/>
      <c r="H52" s="510"/>
      <c r="I52" s="510"/>
      <c r="J52" s="510"/>
      <c r="K52" s="510"/>
      <c r="S52" s="386"/>
      <c r="T52" s="97"/>
    </row>
    <row r="53" spans="3:20" ht="12.75" customHeight="1" x14ac:dyDescent="0.25">
      <c r="C53" s="510"/>
      <c r="D53" s="1087" t="str">
        <f>Translations!$B$14</f>
        <v>The following sheet summarises the main information to be communicated to the reporting declarant:</v>
      </c>
      <c r="E53" s="1087"/>
      <c r="F53" s="1087"/>
      <c r="G53" s="1087"/>
      <c r="H53" s="1087"/>
      <c r="I53" s="1087"/>
      <c r="J53" s="1087"/>
      <c r="K53" s="1087"/>
      <c r="S53" s="386"/>
      <c r="T53" s="97"/>
    </row>
    <row r="54" spans="3:20" ht="12.75" customHeight="1" x14ac:dyDescent="0.25">
      <c r="C54" s="510"/>
      <c r="D54" s="1086" t="str">
        <f ca="1">HYPERLINK("#"&amp;S54,INDIRECT(S54))</f>
        <v>Communication with reporting declarants</v>
      </c>
      <c r="E54" s="1086"/>
      <c r="F54" s="1086"/>
      <c r="G54" s="1086"/>
      <c r="H54" s="1086"/>
      <c r="I54" s="1086"/>
      <c r="J54" s="1086"/>
      <c r="K54" s="1086"/>
      <c r="S54" s="372" t="str">
        <f ca="1">ADDRESS(2,2,,,T54)</f>
        <v>Summary_Communication!$B$2</v>
      </c>
      <c r="T54" s="97" t="str">
        <f ca="1">Summary_Communication!$BE$2</f>
        <v>Summary_Communication</v>
      </c>
    </row>
    <row r="55" spans="3:20" ht="5.0999999999999996" customHeight="1" x14ac:dyDescent="0.25">
      <c r="C55" s="510"/>
      <c r="D55" s="514"/>
      <c r="E55" s="515"/>
      <c r="F55" s="510"/>
      <c r="G55" s="510"/>
      <c r="H55" s="510"/>
      <c r="I55" s="510"/>
      <c r="J55" s="510"/>
      <c r="K55" s="510"/>
      <c r="S55" s="386"/>
      <c r="T55" s="97"/>
    </row>
    <row r="56" spans="3:20" ht="5.0999999999999996" customHeight="1" x14ac:dyDescent="0.25">
      <c r="C56" s="510"/>
      <c r="D56" s="514"/>
      <c r="E56" s="515"/>
      <c r="F56" s="510"/>
      <c r="G56" s="510"/>
      <c r="H56" s="510"/>
      <c r="I56" s="510"/>
      <c r="J56" s="510"/>
      <c r="K56" s="510"/>
      <c r="S56" s="386"/>
      <c r="T56" s="97"/>
    </row>
    <row r="57" spans="3:20" ht="13.5" thickBot="1" x14ac:dyDescent="0.3"/>
    <row r="58" spans="3:20" x14ac:dyDescent="0.25">
      <c r="D58" s="72" t="str">
        <f>Translations!$B$15</f>
        <v>Language version:</v>
      </c>
      <c r="E58" s="73"/>
      <c r="F58" s="73"/>
      <c r="G58" s="74"/>
      <c r="H58" s="75" t="str">
        <f>INDEX(Translations!$C$4:$M$4,Translations!A4-2)</f>
        <v>English Version (Original)</v>
      </c>
      <c r="I58" s="75"/>
      <c r="J58" s="75"/>
      <c r="K58" s="76"/>
    </row>
    <row r="59" spans="3:20" ht="13.5" thickBot="1" x14ac:dyDescent="0.3">
      <c r="D59" s="77" t="str">
        <f>Translations!$B$16</f>
        <v>Reference filename:</v>
      </c>
      <c r="E59" s="78"/>
      <c r="F59" s="78"/>
      <c r="G59" s="79"/>
      <c r="H59" s="80" t="str">
        <f>VersionDocumentation!C3</f>
        <v>CBAM SEE Communication_UBA_en_231023.xls</v>
      </c>
      <c r="I59" s="80"/>
      <c r="J59" s="80"/>
      <c r="K59" s="81"/>
    </row>
    <row r="60" spans="3:20" x14ac:dyDescent="0.25">
      <c r="D60" s="13"/>
      <c r="E60" s="13"/>
      <c r="F60" s="13"/>
      <c r="G60" s="13"/>
      <c r="H60" s="13"/>
      <c r="I60" s="13"/>
      <c r="J60" s="13"/>
      <c r="K60" s="13"/>
    </row>
    <row r="61" spans="3:20" ht="13.5" thickBot="1" x14ac:dyDescent="0.3">
      <c r="D61" s="70" t="str">
        <f>Translations!$B$17</f>
        <v>Information about this file:</v>
      </c>
      <c r="E61" s="70"/>
      <c r="F61" s="70"/>
      <c r="G61" s="13"/>
      <c r="H61" s="13"/>
      <c r="I61" s="13"/>
      <c r="J61" s="13"/>
      <c r="K61" s="13"/>
    </row>
    <row r="62" spans="3:20" x14ac:dyDescent="0.25">
      <c r="D62" s="72" t="str">
        <f>Translations!$B$18</f>
        <v>Installation name:</v>
      </c>
      <c r="E62" s="73"/>
      <c r="F62" s="73"/>
      <c r="G62" s="74"/>
      <c r="H62" s="75" t="str">
        <f>IF(A_InstData!I20="","",A_InstData!I20)</f>
        <v/>
      </c>
      <c r="I62" s="75"/>
      <c r="J62" s="75"/>
      <c r="K62" s="76"/>
    </row>
    <row r="63" spans="3:20" ht="13.5" thickBot="1" x14ac:dyDescent="0.25">
      <c r="D63" s="71" t="str">
        <f>Translations!$B$19</f>
        <v>Reporting period:</v>
      </c>
      <c r="E63" s="82"/>
      <c r="F63" s="82"/>
      <c r="G63" s="83"/>
      <c r="H63" s="85" t="str">
        <f>Translations!$B$20</f>
        <v>from:</v>
      </c>
      <c r="I63" s="86" t="str">
        <f>IF(A_InstData!I9="","",A_InstData!I9)</f>
        <v/>
      </c>
      <c r="J63" s="84" t="str">
        <f>Translations!$B$21</f>
        <v>to:</v>
      </c>
      <c r="K63" s="87" t="str">
        <f>IF(A_InstData!L9="","",A_InstData!L9)</f>
        <v/>
      </c>
    </row>
    <row r="64" spans="3:20" ht="12.75" customHeight="1" x14ac:dyDescent="0.25"/>
    <row r="65" spans="1:16" s="89" customFormat="1" ht="12.75" hidden="1" customHeight="1" x14ac:dyDescent="0.25">
      <c r="A65" s="89" t="s">
        <v>0</v>
      </c>
      <c r="P65" s="90" t="s">
        <v>7</v>
      </c>
    </row>
    <row r="66" spans="1:16" s="89" customFormat="1" ht="12.75" hidden="1" customHeight="1" x14ac:dyDescent="0.25">
      <c r="A66" s="89" t="s">
        <v>0</v>
      </c>
      <c r="P66" s="90"/>
    </row>
    <row r="67" spans="1:16" s="89" customFormat="1" ht="12.75" hidden="1" customHeight="1" x14ac:dyDescent="0.25">
      <c r="A67" s="89" t="s">
        <v>0</v>
      </c>
      <c r="P67" s="90"/>
    </row>
    <row r="68" spans="1:16" s="89" customFormat="1" ht="12.75" hidden="1" customHeight="1" x14ac:dyDescent="0.25">
      <c r="A68" s="89" t="s">
        <v>0</v>
      </c>
      <c r="P68" s="90"/>
    </row>
  </sheetData>
  <sheetProtection sheet="1" objects="1" scenarios="1" formatCells="0" formatColumns="0" formatRows="0"/>
  <mergeCells count="50">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 ref="E3:F3"/>
    <mergeCell ref="G3:H3"/>
    <mergeCell ref="I3:J3"/>
    <mergeCell ref="K3:L3"/>
    <mergeCell ref="D14:K14"/>
    <mergeCell ref="D8:K8"/>
    <mergeCell ref="E45:K45"/>
    <mergeCell ref="E46:K46"/>
    <mergeCell ref="E33:K33"/>
    <mergeCell ref="E36:K36"/>
    <mergeCell ref="E39:K39"/>
    <mergeCell ref="E40:K40"/>
    <mergeCell ref="E43:K43"/>
    <mergeCell ref="E25:K25"/>
    <mergeCell ref="E26:K26"/>
    <mergeCell ref="E29:K29"/>
    <mergeCell ref="E30:K30"/>
    <mergeCell ref="E44:K44"/>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s>
  <phoneticPr fontId="68" type="noConversion"/>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0</v>
      </c>
      <c r="P1" s="90"/>
      <c r="R1" s="89" t="s">
        <v>0</v>
      </c>
      <c r="S1" s="89" t="s">
        <v>0</v>
      </c>
      <c r="T1" s="89" t="s">
        <v>0</v>
      </c>
      <c r="U1" s="89" t="s">
        <v>0</v>
      </c>
    </row>
    <row r="2" spans="1:21" ht="14.1" customHeight="1" thickBot="1" x14ac:dyDescent="0.3">
      <c r="B2" s="1073" t="str">
        <f>Translations!$B$22</f>
        <v>Guidelines &amp; Conditions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304" t="str">
        <f>ADDRESS(ROW($B$6),COLUMN($B$6)) &amp; ":" &amp; ADDRESS(MATCH("PRINT",$P:$P,0),COLUMN($O$6))</f>
        <v>$B$6:$O$52</v>
      </c>
      <c r="T2" s="89" t="s">
        <v>2</v>
      </c>
      <c r="U2" s="305" t="str">
        <f ca="1">IF(ISERROR(CELL("filename",V2)),"MSParameters",MID(CELL("filename",V2),FIND("]",CELL("filename",V2))+1,1024))</f>
        <v>b_Guidelines&amp;Conditions</v>
      </c>
    </row>
    <row r="3" spans="1:21" ht="14.1" customHeight="1" x14ac:dyDescent="0.25">
      <c r="B3" s="1076"/>
      <c r="C3" s="1077"/>
      <c r="D3" s="1078"/>
      <c r="E3" s="1068"/>
      <c r="F3" s="1068"/>
      <c r="G3" s="1068" t="str">
        <f>IFERROR(HYPERLINK("#"&amp;ADDRESS(ROW($A$1)+MATCH(R3,$A:$A,0)-1,COLUMN($A$1)),INDEX($R:$R,MATCH(R3,$A:$A,0))),"")</f>
        <v>General information</v>
      </c>
      <c r="H3" s="1068"/>
      <c r="I3" s="1068" t="str">
        <f>IFERROR(HYPERLINK("#"&amp;ADDRESS(ROW($A$1)+MATCH(T3,$A:$A,0)-1,COLUMN($A$1)),INDEX($R:$R,MATCH(T3,$A:$A,0))),"")</f>
        <v>How to use this file</v>
      </c>
      <c r="J3" s="1068"/>
      <c r="K3" s="1068" t="str">
        <f>IFERROR(HYPERLINK("#"&amp;ADDRESS(ROW($A$1)+MATCH(V3,$A:$A,0)-1,COLUMN($A$1)),INDEX($R:$R,MATCH(V3,$A:$A,0))),"")</f>
        <v/>
      </c>
      <c r="L3" s="1068"/>
      <c r="M3" s="1068" t="str">
        <f>IFERROR(HYPERLINK("#"&amp;ADDRESS(ROW($A$1)+MATCH(X3,$A:$A,0)-1,COLUMN($A$1)),INDEX($R:$R,MATCH(X3,$A:$A,0))),"")</f>
        <v/>
      </c>
      <c r="N3" s="1068"/>
      <c r="R3" s="452">
        <v>1</v>
      </c>
      <c r="S3" s="453"/>
      <c r="T3" s="453">
        <v>2</v>
      </c>
      <c r="U3" s="454"/>
    </row>
    <row r="4" spans="1:21" ht="14.1" customHeight="1" thickBot="1" x14ac:dyDescent="0.3">
      <c r="B4" s="1079"/>
      <c r="C4" s="1080"/>
      <c r="D4" s="1081"/>
      <c r="E4" s="1068"/>
      <c r="F4" s="1068"/>
      <c r="G4" s="1068" t="str">
        <f>IFERROR(HYPERLINK("#"&amp;ADDRESS(ROW($A$1)+MATCH(R4,$A:$A,0)-1,COLUMN($A$1)),INDEX($R:$R,MATCH(R4,$A:$A,0))),"")</f>
        <v/>
      </c>
      <c r="H4" s="1068"/>
      <c r="I4" s="1068" t="str">
        <f>IFERROR(HYPERLINK("#"&amp;ADDRESS(ROW($A$1)+MATCH(T4,$A:$A,0)-1,COLUMN($A$1)),INDEX($R:$R,MATCH(T4,$A:$A,0))),"")</f>
        <v/>
      </c>
      <c r="J4" s="1068"/>
      <c r="K4" s="1068" t="str">
        <f>IFERROR(HYPERLINK("#"&amp;ADDRESS(ROW($A$1)+MATCH(V4,$A:$A,0)-1,COLUMN($A$1)),INDEX($R:$R,MATCH(V4,$A:$A,0))),"")</f>
        <v/>
      </c>
      <c r="L4" s="1068"/>
      <c r="M4" s="1068" t="str">
        <f>IFERROR(HYPERLINK("#"&amp;ADDRESS(ROW($A$1)+MATCH(X4,$A:$A,0)-1,COLUMN($A$1)),INDEX($R:$R,MATCH(X4,$A:$A,0))),"")</f>
        <v/>
      </c>
      <c r="N4" s="1068"/>
      <c r="R4" s="455">
        <v>3</v>
      </c>
      <c r="S4" s="456"/>
      <c r="T4" s="456">
        <v>4</v>
      </c>
      <c r="U4" s="457"/>
    </row>
    <row r="5" spans="1:21" ht="5.0999999999999996" customHeight="1" x14ac:dyDescent="0.25"/>
    <row r="6" spans="1:21" s="95" customFormat="1" ht="20.100000000000001" customHeight="1" x14ac:dyDescent="0.25">
      <c r="A6" s="94"/>
      <c r="C6" s="106" t="str">
        <f>Translations!$B$23</f>
        <v>Sheet "Guidelines &amp; conditions"</v>
      </c>
      <c r="P6" s="96"/>
      <c r="R6" s="94"/>
      <c r="S6" s="94"/>
      <c r="T6" s="94"/>
      <c r="U6" s="94"/>
    </row>
    <row r="7" spans="1:21" ht="12.75" customHeight="1" x14ac:dyDescent="0.25"/>
    <row r="8" spans="1:21" ht="18" customHeight="1" x14ac:dyDescent="0.25">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x14ac:dyDescent="0.25">
      <c r="B9" s="542"/>
    </row>
    <row r="10" spans="1:21" ht="38.85" customHeight="1" x14ac:dyDescent="0.25">
      <c r="B10" s="543">
        <v>1</v>
      </c>
      <c r="C10" s="1096"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6"/>
      <c r="E10" s="1096"/>
      <c r="F10" s="1096"/>
      <c r="G10" s="1096"/>
      <c r="H10" s="1096"/>
      <c r="I10" s="1096"/>
      <c r="J10" s="1096"/>
      <c r="K10" s="1096"/>
      <c r="L10" s="1096"/>
      <c r="M10" s="1096"/>
      <c r="N10" s="1096"/>
    </row>
    <row r="11" spans="1:21" ht="12.75" customHeight="1" x14ac:dyDescent="0.25">
      <c r="B11" s="543"/>
      <c r="C11" s="444" t="str">
        <f>Translations!$B$27</f>
        <v>https://eur-lex.europa.eu/eli/reg/2023/956/oj</v>
      </c>
      <c r="D11" s="445"/>
      <c r="E11" s="445"/>
      <c r="F11" s="445"/>
      <c r="G11" s="445"/>
      <c r="H11" s="445"/>
      <c r="I11" s="445"/>
      <c r="J11" s="445"/>
      <c r="K11" s="445"/>
      <c r="L11" s="445"/>
      <c r="M11" s="445"/>
      <c r="N11" s="445"/>
    </row>
    <row r="12" spans="1:21" ht="38.85" customHeight="1" x14ac:dyDescent="0.25">
      <c r="B12" s="543">
        <v>2</v>
      </c>
      <c r="C12" s="1096"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6"/>
      <c r="E12" s="1096"/>
      <c r="F12" s="1096"/>
      <c r="G12" s="1096"/>
      <c r="H12" s="1096"/>
      <c r="I12" s="1096"/>
      <c r="J12" s="1096"/>
      <c r="K12" s="1096"/>
      <c r="L12" s="1096"/>
      <c r="M12" s="1096"/>
      <c r="N12" s="1096"/>
    </row>
    <row r="13" spans="1:21" ht="12.75" customHeight="1" x14ac:dyDescent="0.25">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x14ac:dyDescent="0.25">
      <c r="B14" s="543">
        <v>3</v>
      </c>
      <c r="C14" s="1096"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6"/>
      <c r="E14" s="1096"/>
      <c r="F14" s="1096"/>
      <c r="G14" s="1096"/>
      <c r="H14" s="1096"/>
      <c r="I14" s="1096"/>
      <c r="J14" s="1096"/>
      <c r="K14" s="1096"/>
      <c r="L14" s="1096"/>
      <c r="M14" s="1096"/>
      <c r="N14" s="1096"/>
    </row>
    <row r="15" spans="1:21" ht="25.5" customHeight="1" x14ac:dyDescent="0.25">
      <c r="B15" s="543">
        <v>4</v>
      </c>
      <c r="C15" s="1096"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6"/>
      <c r="E15" s="1096"/>
      <c r="F15" s="1096"/>
      <c r="G15" s="1096"/>
      <c r="H15" s="1096"/>
      <c r="I15" s="1096"/>
      <c r="J15" s="1096"/>
      <c r="K15" s="1096"/>
      <c r="L15" s="1096"/>
      <c r="M15" s="1096"/>
      <c r="N15" s="1096"/>
    </row>
    <row r="16" spans="1:21" ht="12.75" customHeight="1" x14ac:dyDescent="0.25">
      <c r="B16" s="543"/>
      <c r="C16" s="1096" t="str">
        <f>Translations!$B$32</f>
        <v xml:space="preserve">The views expressed in this file represent the views of the authors and not necessarily those of the European Commission. </v>
      </c>
      <c r="D16" s="1096"/>
      <c r="E16" s="1096"/>
      <c r="F16" s="1096"/>
      <c r="G16" s="1096"/>
      <c r="H16" s="1096"/>
      <c r="I16" s="1096"/>
      <c r="J16" s="1096"/>
      <c r="K16" s="1096"/>
      <c r="L16" s="1096"/>
      <c r="M16" s="1096"/>
      <c r="N16" s="1096"/>
    </row>
    <row r="17" spans="1:18" ht="25.5" customHeight="1" x14ac:dyDescent="0.25">
      <c r="B17" s="543">
        <v>5</v>
      </c>
      <c r="C17" s="1106" t="str">
        <f>Translations!$B$33</f>
        <v>This is the 2nd published version of the CBAM template, version of 23 October 2023.</v>
      </c>
      <c r="D17" s="1106"/>
      <c r="E17" s="1106"/>
      <c r="F17" s="1106"/>
      <c r="G17" s="1106"/>
      <c r="H17" s="1106"/>
      <c r="I17" s="1106"/>
      <c r="J17" s="1106"/>
      <c r="K17" s="1106"/>
      <c r="L17" s="1106"/>
      <c r="M17" s="1106"/>
      <c r="N17" s="1106"/>
    </row>
    <row r="18" spans="1:18" ht="12.75" customHeight="1" x14ac:dyDescent="0.25">
      <c r="B18" s="543"/>
      <c r="C18" s="445"/>
      <c r="D18" s="445"/>
      <c r="E18" s="445"/>
      <c r="F18" s="445"/>
      <c r="G18" s="445"/>
      <c r="H18" s="445"/>
      <c r="I18" s="445"/>
      <c r="J18" s="445"/>
      <c r="K18" s="445"/>
      <c r="L18" s="445"/>
      <c r="M18" s="445"/>
      <c r="N18" s="445"/>
    </row>
    <row r="19" spans="1:18" ht="18" customHeight="1" x14ac:dyDescent="0.25">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x14ac:dyDescent="0.25">
      <c r="B20" s="543"/>
      <c r="C20" s="445"/>
      <c r="D20" s="445"/>
      <c r="E20" s="445"/>
      <c r="F20" s="445"/>
      <c r="G20" s="445"/>
      <c r="H20" s="445"/>
      <c r="I20" s="445"/>
      <c r="J20" s="445"/>
      <c r="K20" s="445"/>
      <c r="L20" s="445"/>
      <c r="M20" s="445"/>
      <c r="N20" s="445"/>
    </row>
    <row r="21" spans="1:18" ht="12.75" customHeight="1" x14ac:dyDescent="0.25">
      <c r="B21" s="543">
        <v>6</v>
      </c>
      <c r="C21" s="1096" t="str">
        <f>Translations!$B$35</f>
        <v>Automatic calculation (to be found in the menu Formula/Calculation options) must be turned on.</v>
      </c>
      <c r="D21" s="1096"/>
      <c r="E21" s="1096"/>
      <c r="F21" s="1096"/>
      <c r="G21" s="1096"/>
      <c r="H21" s="1096"/>
      <c r="I21" s="1096"/>
      <c r="J21" s="1096"/>
      <c r="K21" s="1096"/>
      <c r="L21" s="1096"/>
      <c r="M21" s="1096"/>
      <c r="N21" s="1096"/>
    </row>
    <row r="22" spans="1:18" ht="25.5" customHeight="1" x14ac:dyDescent="0.25">
      <c r="B22" s="543"/>
      <c r="C22" s="1096" t="str">
        <f>Translations!$B$36</f>
        <v>It is recommended that you go through the file from start to end. There are a few functions which will guide you through the form which depend on previous input, such as cells changing colour if an input is not needed (see colour codes below).</v>
      </c>
      <c r="D22" s="1096"/>
      <c r="E22" s="1096"/>
      <c r="F22" s="1096"/>
      <c r="G22" s="1096"/>
      <c r="H22" s="1096"/>
      <c r="I22" s="1096"/>
      <c r="J22" s="1096"/>
      <c r="K22" s="1096"/>
      <c r="L22" s="1096"/>
      <c r="M22" s="1096"/>
      <c r="N22" s="1096"/>
    </row>
    <row r="23" spans="1:18" ht="38.25" customHeight="1" x14ac:dyDescent="0.25">
      <c r="B23" s="543">
        <v>7</v>
      </c>
      <c r="C23" s="1096"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6"/>
      <c r="E23" s="1096"/>
      <c r="F23" s="1096"/>
      <c r="G23" s="1096"/>
      <c r="H23" s="1096"/>
      <c r="I23" s="1096"/>
      <c r="J23" s="1096"/>
      <c r="K23" s="1096"/>
      <c r="L23" s="1096"/>
      <c r="M23" s="1096"/>
      <c r="N23" s="1096"/>
    </row>
    <row r="24" spans="1:18" ht="38.25" customHeight="1" x14ac:dyDescent="0.25">
      <c r="B24" s="543">
        <v>8</v>
      </c>
      <c r="C24" s="1096"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6"/>
      <c r="E24" s="1096"/>
      <c r="F24" s="1096"/>
      <c r="G24" s="1096"/>
      <c r="H24" s="1096"/>
      <c r="I24" s="1096"/>
      <c r="J24" s="1096"/>
      <c r="K24" s="1096"/>
      <c r="L24" s="1096"/>
      <c r="M24" s="1096"/>
      <c r="N24" s="1096"/>
    </row>
    <row r="25" spans="1:18" ht="25.5" customHeight="1" x14ac:dyDescent="0.25">
      <c r="B25" s="543">
        <v>9</v>
      </c>
      <c r="C25" s="1096"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6"/>
      <c r="E25" s="1096"/>
      <c r="F25" s="1096"/>
      <c r="G25" s="1096"/>
      <c r="H25" s="1096"/>
      <c r="I25" s="1096"/>
      <c r="J25" s="1096"/>
      <c r="K25" s="1096"/>
      <c r="L25" s="1096"/>
      <c r="M25" s="1096"/>
      <c r="N25" s="1096"/>
    </row>
    <row r="26" spans="1:18" ht="12.75" customHeight="1" x14ac:dyDescent="0.25">
      <c r="B26" s="543"/>
      <c r="C26" s="1096" t="str">
        <f>Translations!$B$40</f>
        <v>Special care must be taken of ensure consistency of data with the units displayed.</v>
      </c>
      <c r="D26" s="1096"/>
      <c r="E26" s="1096"/>
      <c r="F26" s="1096"/>
      <c r="G26" s="1096"/>
      <c r="H26" s="1096"/>
      <c r="I26" s="1096"/>
      <c r="J26" s="1096"/>
      <c r="K26" s="1096"/>
      <c r="L26" s="1096"/>
      <c r="M26" s="1096"/>
      <c r="N26" s="1096"/>
    </row>
    <row r="27" spans="1:18" ht="12.75" customHeight="1" x14ac:dyDescent="0.25">
      <c r="B27" s="543"/>
      <c r="C27" s="445"/>
      <c r="D27" s="445"/>
      <c r="E27" s="445"/>
      <c r="F27" s="445"/>
      <c r="G27" s="445"/>
      <c r="H27" s="445"/>
      <c r="I27" s="445"/>
      <c r="J27" s="445"/>
      <c r="K27" s="445"/>
      <c r="L27" s="445"/>
      <c r="M27" s="445"/>
      <c r="N27" s="445"/>
    </row>
    <row r="28" spans="1:18" ht="12.75" customHeight="1" x14ac:dyDescent="0.25">
      <c r="B28" s="543">
        <v>10</v>
      </c>
      <c r="C28" s="541" t="str">
        <f>Translations!$B$41</f>
        <v>Colour codes and fonts:</v>
      </c>
      <c r="D28" s="445"/>
      <c r="E28" s="445"/>
      <c r="F28" s="445"/>
      <c r="G28" s="445"/>
      <c r="H28" s="445"/>
      <c r="I28" s="445"/>
      <c r="J28" s="445"/>
      <c r="K28" s="445"/>
      <c r="L28" s="445"/>
      <c r="M28" s="445"/>
      <c r="N28" s="445"/>
    </row>
    <row r="29" spans="1:18" ht="12.75" customHeight="1" x14ac:dyDescent="0.25">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x14ac:dyDescent="0.25">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x14ac:dyDescent="0.25">
      <c r="B31" s="543"/>
      <c r="C31" s="445"/>
      <c r="D31" s="1098"/>
      <c r="E31" s="1099"/>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x14ac:dyDescent="0.25">
      <c r="B32" s="543"/>
      <c r="C32" s="445"/>
      <c r="D32" s="1100"/>
      <c r="E32" s="1101"/>
      <c r="F32" s="541" t="str">
        <f>Translations!$B$47</f>
        <v>Light yellow fields indicate that an input is optional.</v>
      </c>
      <c r="G32" s="445"/>
      <c r="H32" s="445"/>
      <c r="I32" s="445"/>
      <c r="J32" s="445"/>
      <c r="K32" s="445"/>
      <c r="L32" s="445"/>
      <c r="M32" s="445"/>
      <c r="N32" s="445"/>
    </row>
    <row r="33" spans="2:14" ht="12.75" customHeight="1" x14ac:dyDescent="0.25">
      <c r="B33" s="543"/>
      <c r="C33" s="445"/>
      <c r="D33" s="1102"/>
      <c r="E33" s="1103"/>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x14ac:dyDescent="0.25">
      <c r="B34" s="543"/>
      <c r="C34" s="445"/>
      <c r="D34" s="1104" t="str">
        <f>CONST_NA</f>
        <v>n.a.</v>
      </c>
      <c r="E34" s="1105"/>
      <c r="F34" s="541" t="str">
        <f>Translations!$B$49</f>
        <v>Shaded fields indicate that an input in another field makes the input here irrelevant.</v>
      </c>
      <c r="G34" s="445"/>
      <c r="H34" s="445"/>
      <c r="I34" s="445"/>
      <c r="J34" s="445"/>
      <c r="K34" s="445"/>
      <c r="L34" s="445"/>
      <c r="M34" s="445"/>
      <c r="N34" s="445"/>
    </row>
    <row r="35" spans="2:14" ht="12.75" customHeight="1" x14ac:dyDescent="0.25">
      <c r="B35" s="543"/>
      <c r="C35" s="445"/>
      <c r="D35" s="1095"/>
      <c r="E35" s="1095"/>
      <c r="F35" s="541" t="str">
        <f>Translations!$B$50</f>
        <v>Light grey areas are dedicated for navigation and hyperlinks.</v>
      </c>
      <c r="G35" s="445"/>
      <c r="H35" s="445"/>
      <c r="I35" s="445"/>
      <c r="J35" s="445"/>
      <c r="K35" s="445"/>
      <c r="L35" s="445"/>
      <c r="M35" s="445"/>
      <c r="N35" s="445"/>
    </row>
    <row r="36" spans="2:14" ht="12.75" customHeight="1" x14ac:dyDescent="0.25">
      <c r="B36" s="543"/>
      <c r="C36" s="445"/>
      <c r="D36" s="445"/>
      <c r="E36" s="445"/>
      <c r="F36" s="445"/>
      <c r="G36" s="445"/>
      <c r="H36" s="445"/>
      <c r="I36" s="445"/>
      <c r="J36" s="445"/>
      <c r="K36" s="445"/>
      <c r="L36" s="445"/>
      <c r="M36" s="445"/>
      <c r="N36" s="445"/>
    </row>
    <row r="37" spans="2:14" ht="12.75" customHeight="1" x14ac:dyDescent="0.25">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x14ac:dyDescent="0.25">
      <c r="B38" s="543"/>
      <c r="C38" s="445"/>
      <c r="D38" s="449"/>
      <c r="E38" s="1093" t="str">
        <f>Translations!$B$52</f>
        <v>White indicates that data entry is not required here, based on entries in another field making inputs here irrelevant (see 'shaded fields' above).</v>
      </c>
      <c r="F38" s="1094"/>
      <c r="G38" s="1094"/>
      <c r="H38" s="1094"/>
      <c r="I38" s="1094"/>
      <c r="J38" s="1094"/>
      <c r="K38" s="1094"/>
      <c r="L38" s="1094"/>
      <c r="M38" s="1094"/>
      <c r="N38" s="1094"/>
    </row>
    <row r="39" spans="2:14" ht="12.75" customHeight="1" x14ac:dyDescent="0.25">
      <c r="B39" s="543"/>
      <c r="C39" s="445"/>
      <c r="D39" s="451"/>
      <c r="E39" s="1093" t="str">
        <f>Translations!$B$53</f>
        <v>Red colour indicates data inputs are required but the relevant cells are empty or filled incorrectly.</v>
      </c>
      <c r="F39" s="1094"/>
      <c r="G39" s="1094"/>
      <c r="H39" s="1094"/>
      <c r="I39" s="1094"/>
      <c r="J39" s="1094"/>
      <c r="K39" s="1094"/>
      <c r="L39" s="1094"/>
      <c r="M39" s="1094"/>
      <c r="N39" s="1094"/>
    </row>
    <row r="40" spans="2:14" ht="12.75" customHeight="1" x14ac:dyDescent="0.25">
      <c r="B40" s="543"/>
      <c r="C40" s="445"/>
      <c r="D40" s="450"/>
      <c r="E40" s="1093" t="str">
        <f>Translations!$B$54</f>
        <v>Green colour indicates data inputs are required and cells have been filled correctly.</v>
      </c>
      <c r="F40" s="1094"/>
      <c r="G40" s="1094"/>
      <c r="H40" s="1094"/>
      <c r="I40" s="1094"/>
      <c r="J40" s="1094"/>
      <c r="K40" s="1094"/>
      <c r="L40" s="1094"/>
      <c r="M40" s="1094"/>
      <c r="N40" s="1094"/>
    </row>
    <row r="41" spans="2:14" ht="12.75" customHeight="1" x14ac:dyDescent="0.25">
      <c r="B41" s="543"/>
      <c r="C41" s="445"/>
      <c r="D41" s="445"/>
      <c r="E41" s="445"/>
      <c r="F41" s="445"/>
      <c r="G41" s="445"/>
      <c r="H41" s="445"/>
      <c r="I41" s="445"/>
      <c r="J41" s="445"/>
      <c r="K41" s="445"/>
      <c r="L41" s="445"/>
      <c r="M41" s="445"/>
      <c r="N41" s="445"/>
    </row>
    <row r="42" spans="2:14" ht="38.25" customHeight="1" x14ac:dyDescent="0.25">
      <c r="B42" s="543">
        <v>11</v>
      </c>
      <c r="C42" s="1096"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6"/>
      <c r="E42" s="1096"/>
      <c r="F42" s="1096"/>
      <c r="G42" s="1096"/>
      <c r="H42" s="1096"/>
      <c r="I42" s="1096"/>
      <c r="J42" s="1096"/>
      <c r="K42" s="1096"/>
      <c r="L42" s="1096"/>
      <c r="M42" s="1096"/>
      <c r="N42" s="1096"/>
    </row>
    <row r="43" spans="2:14" ht="38.25" customHeight="1" x14ac:dyDescent="0.25">
      <c r="B43" s="543">
        <v>12</v>
      </c>
      <c r="C43" s="1096"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6"/>
      <c r="E43" s="1096"/>
      <c r="F43" s="1096"/>
      <c r="G43" s="1096"/>
      <c r="H43" s="1096"/>
      <c r="I43" s="1096"/>
      <c r="J43" s="1096"/>
      <c r="K43" s="1096"/>
      <c r="L43" s="1096"/>
      <c r="M43" s="1096"/>
      <c r="N43" s="1096"/>
    </row>
    <row r="44" spans="2:14" ht="25.5" customHeight="1" x14ac:dyDescent="0.25">
      <c r="B44" s="543">
        <v>13</v>
      </c>
      <c r="C44" s="1096"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097"/>
      <c r="E44" s="1097"/>
      <c r="F44" s="1097"/>
      <c r="G44" s="1097"/>
      <c r="H44" s="1097"/>
      <c r="I44" s="1097"/>
      <c r="J44" s="1097"/>
      <c r="K44" s="1097"/>
      <c r="L44" s="1097"/>
      <c r="M44" s="1097"/>
      <c r="N44" s="1097"/>
    </row>
    <row r="45" spans="2:14" ht="12.75" customHeight="1" x14ac:dyDescent="0.25">
      <c r="B45" s="543"/>
      <c r="C45" s="443"/>
      <c r="D45" s="443"/>
      <c r="E45" s="443"/>
      <c r="F45" s="443"/>
      <c r="G45" s="443"/>
      <c r="H45" s="443"/>
      <c r="I45" s="443"/>
      <c r="J45" s="443"/>
      <c r="K45" s="443"/>
      <c r="L45" s="443"/>
      <c r="M45" s="443"/>
      <c r="N45" s="443"/>
    </row>
    <row r="46" spans="2:14" ht="63.75" customHeight="1" x14ac:dyDescent="0.25">
      <c r="B46" s="543">
        <v>14</v>
      </c>
      <c r="C46" s="1091"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092"/>
      <c r="E46" s="1092"/>
      <c r="F46" s="1092"/>
      <c r="G46" s="1092"/>
      <c r="H46" s="1092"/>
      <c r="I46" s="1092"/>
      <c r="J46" s="1092"/>
      <c r="K46" s="1092"/>
      <c r="L46" s="1092"/>
      <c r="M46" s="1092"/>
      <c r="N46" s="1092"/>
    </row>
    <row r="47" spans="2:14" ht="38.25" customHeight="1" x14ac:dyDescent="0.25"/>
    <row r="48" spans="2:14" ht="12.75" customHeight="1" x14ac:dyDescent="0.25">
      <c r="C48" s="230" t="str">
        <f>Translations!$B$59</f>
        <v>Information sources:</v>
      </c>
    </row>
    <row r="49" spans="1:16" x14ac:dyDescent="0.25">
      <c r="C49" s="542" t="str">
        <f>Translations!$B$60</f>
        <v>EU CBAM websites:</v>
      </c>
      <c r="F49" s="374" t="str">
        <f>Translations!$B$61</f>
        <v>https://taxation-customs.ec.europa.eu/carbon-border-adjustment-mechanism_en</v>
      </c>
    </row>
    <row r="50" spans="1:16" x14ac:dyDescent="0.25">
      <c r="C50" s="542" t="str">
        <f>Translations!$B$62</f>
        <v>EU-Legislation:</v>
      </c>
      <c r="F50" s="374" t="str">
        <f>Translations!$B$63</f>
        <v>http://eur-lex.europa.eu/en/index.htm</v>
      </c>
    </row>
    <row r="51" spans="1:16" ht="12.75" customHeight="1" x14ac:dyDescent="0.25"/>
    <row r="52" spans="1:16" s="89" customFormat="1" ht="12.75" hidden="1" customHeight="1" x14ac:dyDescent="0.25">
      <c r="A52" s="89" t="s">
        <v>0</v>
      </c>
      <c r="P52" s="90" t="s">
        <v>7</v>
      </c>
    </row>
  </sheetData>
  <sheetProtection sheet="1" objects="1" scenarios="1" formatCells="0" formatColumns="0" formatRows="0"/>
  <mergeCells count="40">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phoneticPr fontId="68" type="noConversion"/>
  <conditionalFormatting sqref="G3:N4">
    <cfRule type="expression" dxfId="513"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Translations!$B$1438</f>
        <v>Code Lists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838" t="str">
        <f>ADDRESS(ROW($B$2),COLUMN(B2)) &amp; ":" &amp; ADDRESS(MATCH("PRINT",$P:$P,0),COLUMN(O4))</f>
        <v>$B$2:$O$3111</v>
      </c>
      <c r="T2" s="89" t="s">
        <v>2</v>
      </c>
      <c r="U2" s="102" t="str">
        <f ca="1">IF(ISERROR(CELL("filename",V2)),"MSParameters",MID(CELL("filename",V2),FIND("]",CELL("filename",V2))+1,1024))</f>
        <v>c_CodeLists</v>
      </c>
    </row>
    <row r="3" spans="1:24" ht="14.1" customHeight="1" x14ac:dyDescent="0.25">
      <c r="B3" s="1076"/>
      <c r="C3" s="1077"/>
      <c r="D3" s="1078"/>
      <c r="E3" s="1068"/>
      <c r="F3" s="1068"/>
      <c r="G3" s="1068" t="str">
        <f>IFERROR(HYPERLINK("#"&amp;ADDRESS(ROW($A$1)+MATCH(R3,$A:$A,0)-1,3),INDEX($R:$R,MATCH(R3,$A:$A,0))),"")</f>
        <v>Countries &amp; Currencies</v>
      </c>
      <c r="H3" s="1068"/>
      <c r="I3" s="1068" t="str">
        <f>IFERROR(HYPERLINK("#"&amp;ADDRESS(ROW($A$1)+MATCH(T3,$A:$A,0)-1,3),INDEX($R:$R,MATCH(T3,$A:$A,0))),"")</f>
        <v>CN Codes</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x14ac:dyDescent="0.3">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x14ac:dyDescent="0.25">
      <c r="W5" s="104"/>
    </row>
    <row r="6" spans="1:24" ht="25.5" customHeight="1" x14ac:dyDescent="0.25">
      <c r="C6" s="106" t="str">
        <f>Translations!$B$1439</f>
        <v>Sheet "Code Lists"</v>
      </c>
      <c r="E6" s="106"/>
      <c r="R6" s="105" t="s">
        <v>19</v>
      </c>
      <c r="S6" s="105" t="s">
        <v>20</v>
      </c>
      <c r="T6" s="126"/>
      <c r="U6" s="126"/>
      <c r="V6" s="105" t="str">
        <f>Translations!$B$66</f>
        <v>Errors</v>
      </c>
      <c r="W6" s="104"/>
      <c r="X6" s="105" t="s">
        <v>21</v>
      </c>
    </row>
    <row r="7" spans="1:24" ht="5.0999999999999996" customHeight="1" x14ac:dyDescent="0.25">
      <c r="W7" s="104"/>
    </row>
    <row r="8" spans="1:24" ht="18" customHeight="1" x14ac:dyDescent="0.25">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x14ac:dyDescent="0.25">
      <c r="D9" s="9"/>
      <c r="E9" s="9"/>
      <c r="F9" s="9"/>
      <c r="G9" s="9"/>
      <c r="H9" s="9"/>
      <c r="I9" s="9"/>
      <c r="J9" s="9"/>
      <c r="K9" s="9"/>
      <c r="L9" s="9"/>
      <c r="M9" s="9"/>
      <c r="N9" s="9"/>
    </row>
    <row r="10" spans="1:24" ht="12.75" customHeight="1" x14ac:dyDescent="0.25">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22</v>
      </c>
      <c r="T10" s="102" t="s">
        <v>23</v>
      </c>
      <c r="U10" s="102" t="s">
        <v>24</v>
      </c>
      <c r="V10" s="102" t="s">
        <v>25</v>
      </c>
      <c r="W10" s="104"/>
    </row>
    <row r="11" spans="1:24" ht="12.75" customHeight="1" x14ac:dyDescent="0.25">
      <c r="D11" s="420"/>
      <c r="E11" s="860">
        <v>1</v>
      </c>
      <c r="F11" s="861" t="s">
        <v>26</v>
      </c>
      <c r="G11" s="842" t="str">
        <f>Translations!$B$1444</f>
        <v>Andorra</v>
      </c>
      <c r="H11" s="842"/>
      <c r="I11" s="842"/>
      <c r="J11" s="860">
        <v>1</v>
      </c>
      <c r="K11" s="861" t="s">
        <v>27</v>
      </c>
      <c r="L11" s="842" t="str">
        <f>Translations!$B$1445</f>
        <v>UAE Dirham</v>
      </c>
      <c r="M11" s="842"/>
      <c r="N11" s="842"/>
      <c r="W11" s="104"/>
    </row>
    <row r="12" spans="1:24" ht="12.75" customHeight="1" x14ac:dyDescent="0.25">
      <c r="D12" s="420"/>
      <c r="E12" s="860">
        <v>2</v>
      </c>
      <c r="F12" s="862" t="s">
        <v>28</v>
      </c>
      <c r="G12" s="844" t="str">
        <f>Translations!$B$1446</f>
        <v>United Arab Emirates</v>
      </c>
      <c r="H12" s="844"/>
      <c r="I12" s="844"/>
      <c r="J12" s="860">
        <v>2</v>
      </c>
      <c r="K12" s="862" t="s">
        <v>29</v>
      </c>
      <c r="L12" s="844" t="str">
        <f>Translations!$B$1447</f>
        <v>Afghani</v>
      </c>
      <c r="M12" s="844"/>
      <c r="N12" s="844"/>
      <c r="W12" s="104"/>
    </row>
    <row r="13" spans="1:24" ht="12.75" customHeight="1" x14ac:dyDescent="0.25">
      <c r="D13" s="420"/>
      <c r="E13" s="860">
        <v>3</v>
      </c>
      <c r="F13" s="862" t="s">
        <v>30</v>
      </c>
      <c r="G13" s="844" t="str">
        <f>Translations!$B$1448</f>
        <v>Afghanistan</v>
      </c>
      <c r="H13" s="844"/>
      <c r="I13" s="844"/>
      <c r="J13" s="860">
        <v>3</v>
      </c>
      <c r="K13" s="862" t="s">
        <v>31</v>
      </c>
      <c r="L13" s="844" t="str">
        <f>Translations!$B$1449</f>
        <v>Lek</v>
      </c>
      <c r="M13" s="844"/>
      <c r="N13" s="844"/>
      <c r="W13" s="104"/>
    </row>
    <row r="14" spans="1:24" ht="12.75" customHeight="1" x14ac:dyDescent="0.25">
      <c r="D14" s="420"/>
      <c r="E14" s="860">
        <v>4</v>
      </c>
      <c r="F14" s="862" t="s">
        <v>32</v>
      </c>
      <c r="G14" s="844" t="str">
        <f>Translations!$B$1450</f>
        <v>Antigua and Barbuda</v>
      </c>
      <c r="H14" s="844"/>
      <c r="I14" s="844"/>
      <c r="J14" s="860">
        <v>4</v>
      </c>
      <c r="K14" s="862" t="s">
        <v>33</v>
      </c>
      <c r="L14" s="844" t="str">
        <f>Translations!$B$1451</f>
        <v>Armenian Dram</v>
      </c>
      <c r="M14" s="844"/>
      <c r="N14" s="844"/>
      <c r="W14" s="104"/>
    </row>
    <row r="15" spans="1:24" ht="12.75" customHeight="1" x14ac:dyDescent="0.25">
      <c r="D15" s="420"/>
      <c r="E15" s="860">
        <v>5</v>
      </c>
      <c r="F15" s="862" t="s">
        <v>34</v>
      </c>
      <c r="G15" s="844" t="str">
        <f>Translations!$B$1452</f>
        <v>Anguilla</v>
      </c>
      <c r="H15" s="844"/>
      <c r="I15" s="844"/>
      <c r="J15" s="860">
        <v>5</v>
      </c>
      <c r="K15" s="862" t="s">
        <v>35</v>
      </c>
      <c r="L15" s="844" t="str">
        <f>Translations!$B$1453</f>
        <v>Netherlands Antillean Guilder</v>
      </c>
      <c r="M15" s="844"/>
      <c r="N15" s="844"/>
      <c r="W15" s="104"/>
    </row>
    <row r="16" spans="1:24" ht="12.75" customHeight="1" x14ac:dyDescent="0.25">
      <c r="D16" s="420"/>
      <c r="E16" s="860">
        <v>6</v>
      </c>
      <c r="F16" s="862" t="s">
        <v>36</v>
      </c>
      <c r="G16" s="844" t="str">
        <f>Translations!$B$1454</f>
        <v>Albania</v>
      </c>
      <c r="H16" s="844"/>
      <c r="I16" s="844"/>
      <c r="J16" s="860">
        <v>6</v>
      </c>
      <c r="K16" s="862" t="s">
        <v>37</v>
      </c>
      <c r="L16" s="844" t="str">
        <f>Translations!$B$1455</f>
        <v>Kwanza</v>
      </c>
      <c r="M16" s="844"/>
      <c r="N16" s="844"/>
      <c r="W16" s="104"/>
    </row>
    <row r="17" spans="4:23" ht="12.75" customHeight="1" x14ac:dyDescent="0.25">
      <c r="D17" s="420"/>
      <c r="E17" s="860">
        <v>7</v>
      </c>
      <c r="F17" s="862" t="s">
        <v>38</v>
      </c>
      <c r="G17" s="844" t="str">
        <f>Translations!$B$1456</f>
        <v>Armenia</v>
      </c>
      <c r="H17" s="844"/>
      <c r="I17" s="844"/>
      <c r="J17" s="860">
        <v>7</v>
      </c>
      <c r="K17" s="862" t="s">
        <v>39</v>
      </c>
      <c r="L17" s="844" t="str">
        <f>Translations!$B$1457</f>
        <v>Argentine Peso</v>
      </c>
      <c r="M17" s="844"/>
      <c r="N17" s="844"/>
      <c r="W17" s="104"/>
    </row>
    <row r="18" spans="4:23" ht="12.75" customHeight="1" x14ac:dyDescent="0.25">
      <c r="D18" s="420"/>
      <c r="E18" s="860">
        <v>8</v>
      </c>
      <c r="F18" s="862" t="s">
        <v>40</v>
      </c>
      <c r="G18" s="844" t="str">
        <f>Translations!$B$1458</f>
        <v>Netherlands Antilles</v>
      </c>
      <c r="H18" s="844"/>
      <c r="I18" s="844"/>
      <c r="J18" s="860">
        <v>8</v>
      </c>
      <c r="K18" s="862" t="s">
        <v>41</v>
      </c>
      <c r="L18" s="844" t="str">
        <f>Translations!$B$1459</f>
        <v>Australian Dollar</v>
      </c>
      <c r="M18" s="844"/>
      <c r="N18" s="844"/>
      <c r="W18" s="104"/>
    </row>
    <row r="19" spans="4:23" ht="12.75" customHeight="1" x14ac:dyDescent="0.25">
      <c r="D19" s="420"/>
      <c r="E19" s="860">
        <v>9</v>
      </c>
      <c r="F19" s="862" t="s">
        <v>42</v>
      </c>
      <c r="G19" s="844" t="str">
        <f>Translations!$B$1460</f>
        <v>Angola</v>
      </c>
      <c r="H19" s="844"/>
      <c r="I19" s="844"/>
      <c r="J19" s="860">
        <v>9</v>
      </c>
      <c r="K19" s="862" t="s">
        <v>43</v>
      </c>
      <c r="L19" s="844" t="str">
        <f>Translations!$B$1461</f>
        <v>Aruban Florin</v>
      </c>
      <c r="M19" s="844"/>
      <c r="N19" s="844"/>
      <c r="W19" s="104"/>
    </row>
    <row r="20" spans="4:23" ht="12.75" customHeight="1" x14ac:dyDescent="0.25">
      <c r="D20" s="420"/>
      <c r="E20" s="860">
        <v>10</v>
      </c>
      <c r="F20" s="862" t="s">
        <v>44</v>
      </c>
      <c r="G20" s="844" t="str">
        <f>Translations!$B$1462</f>
        <v>Antarctica</v>
      </c>
      <c r="H20" s="844"/>
      <c r="I20" s="844"/>
      <c r="J20" s="860">
        <v>10</v>
      </c>
      <c r="K20" s="862" t="s">
        <v>45</v>
      </c>
      <c r="L20" s="844" t="str">
        <f>Translations!$B$1463</f>
        <v>Azerbaijan Manat</v>
      </c>
      <c r="M20" s="844"/>
      <c r="N20" s="844"/>
      <c r="W20" s="104"/>
    </row>
    <row r="21" spans="4:23" ht="12.75" customHeight="1" x14ac:dyDescent="0.25">
      <c r="D21" s="420"/>
      <c r="E21" s="860">
        <v>11</v>
      </c>
      <c r="F21" s="862" t="s">
        <v>46</v>
      </c>
      <c r="G21" s="844" t="str">
        <f>Translations!$B$1464</f>
        <v>Argentina</v>
      </c>
      <c r="H21" s="844"/>
      <c r="I21" s="844"/>
      <c r="J21" s="860">
        <v>11</v>
      </c>
      <c r="K21" s="862" t="s">
        <v>47</v>
      </c>
      <c r="L21" s="844" t="str">
        <f>Translations!$B$1465</f>
        <v>Convertible Mark</v>
      </c>
      <c r="M21" s="844"/>
      <c r="N21" s="844"/>
      <c r="W21" s="104"/>
    </row>
    <row r="22" spans="4:23" ht="12.75" customHeight="1" x14ac:dyDescent="0.25">
      <c r="D22" s="420"/>
      <c r="E22" s="860">
        <v>12</v>
      </c>
      <c r="F22" s="862" t="s">
        <v>48</v>
      </c>
      <c r="G22" s="844" t="str">
        <f>Translations!$B$1466</f>
        <v>American Samoa</v>
      </c>
      <c r="H22" s="844"/>
      <c r="I22" s="844"/>
      <c r="J22" s="860">
        <v>12</v>
      </c>
      <c r="K22" s="862" t="s">
        <v>49</v>
      </c>
      <c r="L22" s="844" t="str">
        <f>Translations!$B$1467</f>
        <v>Barbados Dollar</v>
      </c>
      <c r="M22" s="844"/>
      <c r="N22" s="844"/>
      <c r="W22" s="104"/>
    </row>
    <row r="23" spans="4:23" ht="12.75" customHeight="1" x14ac:dyDescent="0.25">
      <c r="D23" s="420"/>
      <c r="E23" s="860">
        <v>13</v>
      </c>
      <c r="F23" s="862" t="s">
        <v>50</v>
      </c>
      <c r="G23" s="844" t="s">
        <v>51</v>
      </c>
      <c r="H23" s="844"/>
      <c r="I23" s="844"/>
      <c r="J23" s="860">
        <v>13</v>
      </c>
      <c r="K23" s="862" t="s">
        <v>52</v>
      </c>
      <c r="L23" s="844" t="str">
        <f>Translations!$B$1468</f>
        <v>Taka</v>
      </c>
      <c r="M23" s="844"/>
      <c r="N23" s="844"/>
      <c r="W23" s="104"/>
    </row>
    <row r="24" spans="4:23" ht="12.75" customHeight="1" x14ac:dyDescent="0.25">
      <c r="D24" s="420"/>
      <c r="E24" s="860">
        <v>14</v>
      </c>
      <c r="F24" s="862" t="s">
        <v>53</v>
      </c>
      <c r="G24" s="844" t="str">
        <f>Translations!$B$1469</f>
        <v>Australia</v>
      </c>
      <c r="H24" s="844"/>
      <c r="I24" s="844"/>
      <c r="J24" s="860">
        <v>14</v>
      </c>
      <c r="K24" s="862" t="s">
        <v>54</v>
      </c>
      <c r="L24" s="844" t="str">
        <f>Translations!$B$1470</f>
        <v>Bulgarian Lev</v>
      </c>
      <c r="M24" s="844"/>
      <c r="N24" s="844"/>
      <c r="W24" s="104"/>
    </row>
    <row r="25" spans="4:23" ht="12.75" customHeight="1" x14ac:dyDescent="0.25">
      <c r="D25" s="420"/>
      <c r="E25" s="860">
        <v>15</v>
      </c>
      <c r="F25" s="862" t="s">
        <v>55</v>
      </c>
      <c r="G25" s="844" t="str">
        <f>Translations!$B$1471</f>
        <v>Aruba</v>
      </c>
      <c r="H25" s="844"/>
      <c r="I25" s="844"/>
      <c r="J25" s="860">
        <v>15</v>
      </c>
      <c r="K25" s="862" t="s">
        <v>56</v>
      </c>
      <c r="L25" s="844" t="str">
        <f>Translations!$B$1472</f>
        <v>Bahraini Dinar</v>
      </c>
      <c r="M25" s="844"/>
      <c r="N25" s="844"/>
      <c r="W25" s="104"/>
    </row>
    <row r="26" spans="4:23" ht="12.75" customHeight="1" x14ac:dyDescent="0.25">
      <c r="D26" s="420"/>
      <c r="E26" s="860">
        <v>16</v>
      </c>
      <c r="F26" s="862" t="s">
        <v>57</v>
      </c>
      <c r="G26" s="844" t="str">
        <f>Translations!$B$1473</f>
        <v>ÅLAND ISLANDS</v>
      </c>
      <c r="H26" s="844"/>
      <c r="I26" s="844"/>
      <c r="J26" s="860">
        <v>16</v>
      </c>
      <c r="K26" s="862" t="s">
        <v>58</v>
      </c>
      <c r="L26" s="844" t="str">
        <f>Translations!$B$1474</f>
        <v>Burundi Franc</v>
      </c>
      <c r="M26" s="844"/>
      <c r="N26" s="844"/>
      <c r="W26" s="104"/>
    </row>
    <row r="27" spans="4:23" ht="12.75" customHeight="1" x14ac:dyDescent="0.25">
      <c r="D27" s="420"/>
      <c r="E27" s="860">
        <v>17</v>
      </c>
      <c r="F27" s="862" t="s">
        <v>59</v>
      </c>
      <c r="G27" s="844" t="str">
        <f>Translations!$B$1475</f>
        <v>Azerbaijan</v>
      </c>
      <c r="H27" s="844"/>
      <c r="I27" s="844"/>
      <c r="J27" s="860">
        <v>17</v>
      </c>
      <c r="K27" s="862" t="s">
        <v>60</v>
      </c>
      <c r="L27" s="844" t="str">
        <f>Translations!$B$1476</f>
        <v>Bermudian Dollar</v>
      </c>
      <c r="M27" s="844"/>
      <c r="N27" s="844"/>
      <c r="W27" s="104"/>
    </row>
    <row r="28" spans="4:23" ht="12.75" customHeight="1" x14ac:dyDescent="0.25">
      <c r="D28" s="420"/>
      <c r="E28" s="860">
        <v>18</v>
      </c>
      <c r="F28" s="862" t="s">
        <v>61</v>
      </c>
      <c r="G28" s="844" t="str">
        <f>Translations!$B$1477</f>
        <v>Bosnia and Herzegovina</v>
      </c>
      <c r="H28" s="844"/>
      <c r="I28" s="844"/>
      <c r="J28" s="860">
        <v>18</v>
      </c>
      <c r="K28" s="862" t="s">
        <v>62</v>
      </c>
      <c r="L28" s="844" t="str">
        <f>Translations!$B$1478</f>
        <v>Brunei Dollar</v>
      </c>
      <c r="M28" s="844"/>
      <c r="N28" s="844"/>
      <c r="W28" s="104"/>
    </row>
    <row r="29" spans="4:23" ht="12.75" customHeight="1" x14ac:dyDescent="0.25">
      <c r="D29" s="420"/>
      <c r="E29" s="860">
        <v>19</v>
      </c>
      <c r="F29" s="862" t="s">
        <v>63</v>
      </c>
      <c r="G29" s="844" t="str">
        <f>Translations!$B$1479</f>
        <v>Barbados</v>
      </c>
      <c r="H29" s="844"/>
      <c r="I29" s="844"/>
      <c r="J29" s="860">
        <v>19</v>
      </c>
      <c r="K29" s="862" t="s">
        <v>64</v>
      </c>
      <c r="L29" s="844" t="str">
        <f>Translations!$B$1480</f>
        <v>Boliviano</v>
      </c>
      <c r="M29" s="844"/>
      <c r="N29" s="844"/>
      <c r="W29" s="104"/>
    </row>
    <row r="30" spans="4:23" ht="12.75" customHeight="1" x14ac:dyDescent="0.25">
      <c r="D30" s="420"/>
      <c r="E30" s="860">
        <v>20</v>
      </c>
      <c r="F30" s="862" t="s">
        <v>65</v>
      </c>
      <c r="G30" s="844" t="str">
        <f>Translations!$B$1481</f>
        <v>Bangladesh</v>
      </c>
      <c r="H30" s="844"/>
      <c r="I30" s="844"/>
      <c r="J30" s="860">
        <v>20</v>
      </c>
      <c r="K30" s="862" t="s">
        <v>66</v>
      </c>
      <c r="L30" s="844" t="str">
        <f>Translations!$B$1482</f>
        <v>Mvdol</v>
      </c>
      <c r="M30" s="844"/>
      <c r="N30" s="844"/>
      <c r="W30" s="104"/>
    </row>
    <row r="31" spans="4:23" ht="12.75" customHeight="1" x14ac:dyDescent="0.25">
      <c r="D31" s="420"/>
      <c r="E31" s="860">
        <v>21</v>
      </c>
      <c r="F31" s="862" t="s">
        <v>67</v>
      </c>
      <c r="G31" s="844" t="s">
        <v>68</v>
      </c>
      <c r="H31" s="844"/>
      <c r="I31" s="844"/>
      <c r="J31" s="860">
        <v>21</v>
      </c>
      <c r="K31" s="862" t="s">
        <v>69</v>
      </c>
      <c r="L31" s="844" t="str">
        <f>Translations!$B$1483</f>
        <v>Brazilian Real</v>
      </c>
      <c r="M31" s="844"/>
      <c r="N31" s="844"/>
      <c r="W31" s="104"/>
    </row>
    <row r="32" spans="4:23" ht="12.75" customHeight="1" x14ac:dyDescent="0.25">
      <c r="D32" s="420"/>
      <c r="E32" s="860">
        <v>22</v>
      </c>
      <c r="F32" s="862" t="s">
        <v>70</v>
      </c>
      <c r="G32" s="844" t="str">
        <f>Translations!$B$1484</f>
        <v>Burkina Faso</v>
      </c>
      <c r="H32" s="844"/>
      <c r="I32" s="844"/>
      <c r="J32" s="860">
        <v>22</v>
      </c>
      <c r="K32" s="862" t="s">
        <v>71</v>
      </c>
      <c r="L32" s="844" t="str">
        <f>Translations!$B$1485</f>
        <v>Bahamian Dollar</v>
      </c>
      <c r="M32" s="844"/>
      <c r="N32" s="844"/>
      <c r="W32" s="104"/>
    </row>
    <row r="33" spans="4:23" ht="12.75" customHeight="1" x14ac:dyDescent="0.25">
      <c r="D33" s="420"/>
      <c r="E33" s="860">
        <v>23</v>
      </c>
      <c r="F33" s="862" t="s">
        <v>72</v>
      </c>
      <c r="G33" s="844" t="s">
        <v>73</v>
      </c>
      <c r="H33" s="844"/>
      <c r="I33" s="844"/>
      <c r="J33" s="860">
        <v>23</v>
      </c>
      <c r="K33" s="862" t="s">
        <v>74</v>
      </c>
      <c r="L33" s="844" t="str">
        <f>Translations!$B$1486</f>
        <v>Ngultrum</v>
      </c>
      <c r="M33" s="844"/>
      <c r="N33" s="844"/>
      <c r="W33" s="104"/>
    </row>
    <row r="34" spans="4:23" ht="12.75" customHeight="1" x14ac:dyDescent="0.25">
      <c r="D34" s="420"/>
      <c r="E34" s="860">
        <v>24</v>
      </c>
      <c r="F34" s="862" t="s">
        <v>75</v>
      </c>
      <c r="G34" s="844" t="str">
        <f>Translations!$B$1487</f>
        <v>Bahrain</v>
      </c>
      <c r="H34" s="844"/>
      <c r="I34" s="844"/>
      <c r="J34" s="860">
        <v>24</v>
      </c>
      <c r="K34" s="862" t="s">
        <v>76</v>
      </c>
      <c r="L34" s="844" t="str">
        <f>Translations!$B$1488</f>
        <v>Pula</v>
      </c>
      <c r="M34" s="844"/>
      <c r="N34" s="844"/>
      <c r="W34" s="104"/>
    </row>
    <row r="35" spans="4:23" ht="12.75" customHeight="1" x14ac:dyDescent="0.25">
      <c r="D35" s="420"/>
      <c r="E35" s="860">
        <v>25</v>
      </c>
      <c r="F35" s="862" t="s">
        <v>77</v>
      </c>
      <c r="G35" s="844" t="str">
        <f>Translations!$B$1489</f>
        <v>Burundi</v>
      </c>
      <c r="H35" s="844"/>
      <c r="I35" s="844"/>
      <c r="J35" s="860">
        <v>25</v>
      </c>
      <c r="K35" s="862" t="s">
        <v>78</v>
      </c>
      <c r="L35" s="844" t="str">
        <f>Translations!$B$1490</f>
        <v>Belarusian Ruble</v>
      </c>
      <c r="M35" s="844"/>
      <c r="N35" s="844"/>
      <c r="W35" s="104"/>
    </row>
    <row r="36" spans="4:23" ht="12.75" customHeight="1" x14ac:dyDescent="0.25">
      <c r="D36" s="420"/>
      <c r="E36" s="860">
        <v>26</v>
      </c>
      <c r="F36" s="862" t="s">
        <v>79</v>
      </c>
      <c r="G36" s="844" t="str">
        <f>Translations!$B$1491</f>
        <v>Benin</v>
      </c>
      <c r="H36" s="844"/>
      <c r="I36" s="844"/>
      <c r="J36" s="860">
        <v>26</v>
      </c>
      <c r="K36" s="862" t="s">
        <v>80</v>
      </c>
      <c r="L36" s="844" t="str">
        <f>Translations!$B$1492</f>
        <v>Belize Dollar</v>
      </c>
      <c r="M36" s="844"/>
      <c r="N36" s="844"/>
      <c r="W36" s="104"/>
    </row>
    <row r="37" spans="4:23" ht="12.75" customHeight="1" x14ac:dyDescent="0.25">
      <c r="D37" s="420"/>
      <c r="E37" s="860">
        <v>27</v>
      </c>
      <c r="F37" s="862" t="s">
        <v>81</v>
      </c>
      <c r="G37" s="844" t="str">
        <f>Translations!$B$1493</f>
        <v>Saint Barthélemy</v>
      </c>
      <c r="H37" s="844"/>
      <c r="I37" s="844"/>
      <c r="J37" s="860">
        <v>27</v>
      </c>
      <c r="K37" s="862" t="s">
        <v>82</v>
      </c>
      <c r="L37" s="844" t="str">
        <f>Translations!$B$1494</f>
        <v>Canadian Dollar</v>
      </c>
      <c r="M37" s="844"/>
      <c r="N37" s="844"/>
      <c r="W37" s="104"/>
    </row>
    <row r="38" spans="4:23" ht="12.75" customHeight="1" x14ac:dyDescent="0.25">
      <c r="D38" s="420"/>
      <c r="E38" s="860">
        <v>28</v>
      </c>
      <c r="F38" s="862" t="s">
        <v>83</v>
      </c>
      <c r="G38" s="844" t="str">
        <f>Translations!$B$1495</f>
        <v>Bermuda</v>
      </c>
      <c r="H38" s="844"/>
      <c r="I38" s="844"/>
      <c r="J38" s="860">
        <v>28</v>
      </c>
      <c r="K38" s="862" t="s">
        <v>84</v>
      </c>
      <c r="L38" s="844" t="str">
        <f>Translations!$B$1496</f>
        <v>Congolese Franc</v>
      </c>
      <c r="M38" s="844"/>
      <c r="N38" s="844"/>
      <c r="W38" s="104"/>
    </row>
    <row r="39" spans="4:23" ht="12.75" customHeight="1" x14ac:dyDescent="0.25">
      <c r="D39" s="420"/>
      <c r="E39" s="860">
        <v>29</v>
      </c>
      <c r="F39" s="862" t="s">
        <v>85</v>
      </c>
      <c r="G39" s="844" t="str">
        <f>Translations!$B$1497</f>
        <v>Brunei Darussalam</v>
      </c>
      <c r="H39" s="844"/>
      <c r="I39" s="844"/>
      <c r="J39" s="860">
        <v>29</v>
      </c>
      <c r="K39" s="862" t="s">
        <v>86</v>
      </c>
      <c r="L39" s="844" t="str">
        <f>Translations!$B$1498</f>
        <v>WIR Euro</v>
      </c>
      <c r="M39" s="844"/>
      <c r="N39" s="844"/>
      <c r="W39" s="104"/>
    </row>
    <row r="40" spans="4:23" ht="12.75" customHeight="1" x14ac:dyDescent="0.25">
      <c r="D40" s="420"/>
      <c r="E40" s="860">
        <v>30</v>
      </c>
      <c r="F40" s="862" t="s">
        <v>87</v>
      </c>
      <c r="G40" s="844" t="str">
        <f>Translations!$B$1499</f>
        <v>Bolivia, Plurinational State of</v>
      </c>
      <c r="H40" s="844"/>
      <c r="I40" s="844"/>
      <c r="J40" s="860">
        <v>30</v>
      </c>
      <c r="K40" s="862" t="s">
        <v>88</v>
      </c>
      <c r="L40" s="844" t="str">
        <f>Translations!$B$1500</f>
        <v>Swiss Franc</v>
      </c>
      <c r="M40" s="844"/>
      <c r="N40" s="844"/>
      <c r="W40" s="104"/>
    </row>
    <row r="41" spans="4:23" ht="12.75" customHeight="1" x14ac:dyDescent="0.25">
      <c r="D41" s="420"/>
      <c r="E41" s="860">
        <v>31</v>
      </c>
      <c r="F41" s="862" t="s">
        <v>89</v>
      </c>
      <c r="G41" s="844" t="str">
        <f>Translations!$B$1501</f>
        <v>Bonaire, Sint Eustatius and Saba</v>
      </c>
      <c r="H41" s="844"/>
      <c r="I41" s="844"/>
      <c r="J41" s="860">
        <v>31</v>
      </c>
      <c r="K41" s="862" t="s">
        <v>90</v>
      </c>
      <c r="L41" s="844" t="str">
        <f>Translations!$B$1502</f>
        <v>WIR Franc</v>
      </c>
      <c r="M41" s="844"/>
      <c r="N41" s="844"/>
      <c r="W41" s="104"/>
    </row>
    <row r="42" spans="4:23" ht="12.75" customHeight="1" x14ac:dyDescent="0.25">
      <c r="D42" s="420"/>
      <c r="E42" s="860">
        <v>32</v>
      </c>
      <c r="F42" s="862" t="s">
        <v>91</v>
      </c>
      <c r="G42" s="844" t="str">
        <f>Translations!$B$1503</f>
        <v>Brazil</v>
      </c>
      <c r="H42" s="844"/>
      <c r="I42" s="844"/>
      <c r="J42" s="860">
        <v>32</v>
      </c>
      <c r="K42" s="862" t="s">
        <v>92</v>
      </c>
      <c r="L42" s="844" t="str">
        <f>Translations!$B$1504</f>
        <v>Unidad de Fomento</v>
      </c>
      <c r="M42" s="844"/>
      <c r="N42" s="844"/>
      <c r="W42" s="104"/>
    </row>
    <row r="43" spans="4:23" ht="12.75" customHeight="1" x14ac:dyDescent="0.25">
      <c r="D43" s="420"/>
      <c r="E43" s="860">
        <v>33</v>
      </c>
      <c r="F43" s="862" t="s">
        <v>93</v>
      </c>
      <c r="G43" s="844" t="str">
        <f>Translations!$B$1505</f>
        <v>Bahamas</v>
      </c>
      <c r="H43" s="844"/>
      <c r="I43" s="844"/>
      <c r="J43" s="860">
        <v>33</v>
      </c>
      <c r="K43" s="862" t="s">
        <v>94</v>
      </c>
      <c r="L43" s="844" t="str">
        <f>Translations!$B$1506</f>
        <v>Chilean Peso</v>
      </c>
      <c r="M43" s="844"/>
      <c r="N43" s="844"/>
      <c r="W43" s="104"/>
    </row>
    <row r="44" spans="4:23" ht="12.75" customHeight="1" x14ac:dyDescent="0.25">
      <c r="D44" s="420"/>
      <c r="E44" s="860">
        <v>34</v>
      </c>
      <c r="F44" s="862" t="s">
        <v>95</v>
      </c>
      <c r="G44" s="844" t="str">
        <f>Translations!$B$1507</f>
        <v>Bhutan</v>
      </c>
      <c r="H44" s="844"/>
      <c r="I44" s="844"/>
      <c r="J44" s="860">
        <v>34</v>
      </c>
      <c r="K44" s="862" t="s">
        <v>96</v>
      </c>
      <c r="L44" s="844" t="str">
        <f>Translations!$B$1508</f>
        <v>Yuan Renminbi</v>
      </c>
      <c r="M44" s="844"/>
      <c r="N44" s="844"/>
      <c r="W44" s="104"/>
    </row>
    <row r="45" spans="4:23" ht="12.75" customHeight="1" x14ac:dyDescent="0.25">
      <c r="D45" s="420"/>
      <c r="E45" s="860">
        <v>35</v>
      </c>
      <c r="F45" s="862" t="s">
        <v>97</v>
      </c>
      <c r="G45" s="844" t="str">
        <f>Translations!$B$1509</f>
        <v>Bouvet Island</v>
      </c>
      <c r="H45" s="844"/>
      <c r="I45" s="844"/>
      <c r="J45" s="860">
        <v>35</v>
      </c>
      <c r="K45" s="862" t="s">
        <v>98</v>
      </c>
      <c r="L45" s="844" t="str">
        <f>Translations!$B$1510</f>
        <v>Colombian Peso</v>
      </c>
      <c r="M45" s="844"/>
      <c r="N45" s="844"/>
      <c r="W45" s="104"/>
    </row>
    <row r="46" spans="4:23" ht="12.75" customHeight="1" x14ac:dyDescent="0.25">
      <c r="D46" s="420"/>
      <c r="E46" s="860">
        <v>36</v>
      </c>
      <c r="F46" s="862" t="s">
        <v>99</v>
      </c>
      <c r="G46" s="844" t="str">
        <f>Translations!$B$1511</f>
        <v>Botswana</v>
      </c>
      <c r="H46" s="844"/>
      <c r="I46" s="844"/>
      <c r="J46" s="860">
        <v>36</v>
      </c>
      <c r="K46" s="862" t="s">
        <v>100</v>
      </c>
      <c r="L46" s="844" t="str">
        <f>Translations!$B$1512</f>
        <v>Unidad de Valor Real</v>
      </c>
      <c r="M46" s="844"/>
      <c r="N46" s="844"/>
      <c r="W46" s="104"/>
    </row>
    <row r="47" spans="4:23" ht="12.75" customHeight="1" x14ac:dyDescent="0.25">
      <c r="D47" s="420"/>
      <c r="E47" s="860">
        <v>37</v>
      </c>
      <c r="F47" s="862" t="s">
        <v>101</v>
      </c>
      <c r="G47" s="844" t="str">
        <f>Translations!$B$1513</f>
        <v>Belarus</v>
      </c>
      <c r="H47" s="844"/>
      <c r="I47" s="844"/>
      <c r="J47" s="860">
        <v>37</v>
      </c>
      <c r="K47" s="862" t="s">
        <v>102</v>
      </c>
      <c r="L47" s="844" t="str">
        <f>Translations!$B$1514</f>
        <v>Costa Rican Colon</v>
      </c>
      <c r="M47" s="844"/>
      <c r="N47" s="844"/>
      <c r="W47" s="104"/>
    </row>
    <row r="48" spans="4:23" ht="12.75" customHeight="1" x14ac:dyDescent="0.25">
      <c r="D48" s="420"/>
      <c r="E48" s="860">
        <v>38</v>
      </c>
      <c r="F48" s="862" t="s">
        <v>103</v>
      </c>
      <c r="G48" s="844" t="str">
        <f>Translations!$B$1515</f>
        <v>Belize</v>
      </c>
      <c r="H48" s="844"/>
      <c r="I48" s="844"/>
      <c r="J48" s="860">
        <v>38</v>
      </c>
      <c r="K48" s="862" t="s">
        <v>104</v>
      </c>
      <c r="L48" s="844" t="str">
        <f>Translations!$B$1516</f>
        <v>Peso Convertible</v>
      </c>
      <c r="M48" s="844"/>
      <c r="N48" s="844"/>
      <c r="W48" s="104"/>
    </row>
    <row r="49" spans="4:23" ht="12.75" customHeight="1" x14ac:dyDescent="0.25">
      <c r="D49" s="420"/>
      <c r="E49" s="860">
        <v>39</v>
      </c>
      <c r="F49" s="862" t="s">
        <v>105</v>
      </c>
      <c r="G49" s="844" t="str">
        <f>Translations!$B$1517</f>
        <v>Canada</v>
      </c>
      <c r="H49" s="844"/>
      <c r="I49" s="844"/>
      <c r="J49" s="860">
        <v>39</v>
      </c>
      <c r="K49" s="862" t="s">
        <v>106</v>
      </c>
      <c r="L49" s="844" t="str">
        <f>Translations!$B$1518</f>
        <v>Cuban Peso</v>
      </c>
      <c r="M49" s="844"/>
      <c r="N49" s="844"/>
      <c r="W49" s="104"/>
    </row>
    <row r="50" spans="4:23" ht="12.75" customHeight="1" x14ac:dyDescent="0.25">
      <c r="D50" s="420"/>
      <c r="E50" s="860">
        <v>40</v>
      </c>
      <c r="F50" s="862" t="s">
        <v>107</v>
      </c>
      <c r="G50" s="844" t="str">
        <f>Translations!$B$1519</f>
        <v>Cocos Islands (or Keeling Islands)</v>
      </c>
      <c r="H50" s="844"/>
      <c r="I50" s="844"/>
      <c r="J50" s="860">
        <v>40</v>
      </c>
      <c r="K50" s="862" t="s">
        <v>108</v>
      </c>
      <c r="L50" s="844" t="str">
        <f>Translations!$B$1520</f>
        <v>Cabo Verde Escudo</v>
      </c>
      <c r="M50" s="844"/>
      <c r="N50" s="844"/>
      <c r="W50" s="104"/>
    </row>
    <row r="51" spans="4:23" ht="12.75" customHeight="1" x14ac:dyDescent="0.25">
      <c r="D51" s="420"/>
      <c r="E51" s="860">
        <v>41</v>
      </c>
      <c r="F51" s="862" t="s">
        <v>109</v>
      </c>
      <c r="G51" s="844" t="str">
        <f>Translations!$B$1521</f>
        <v>Congo, Democratic Republic of</v>
      </c>
      <c r="H51" s="844"/>
      <c r="I51" s="844"/>
      <c r="J51" s="860">
        <v>41</v>
      </c>
      <c r="K51" s="862" t="s">
        <v>110</v>
      </c>
      <c r="L51" s="844" t="str">
        <f>Translations!$B$1522</f>
        <v>Czech Koruna</v>
      </c>
      <c r="M51" s="844"/>
      <c r="N51" s="844"/>
      <c r="W51" s="104"/>
    </row>
    <row r="52" spans="4:23" ht="12.75" customHeight="1" x14ac:dyDescent="0.25">
      <c r="D52" s="420"/>
      <c r="E52" s="860">
        <v>42</v>
      </c>
      <c r="F52" s="862" t="s">
        <v>111</v>
      </c>
      <c r="G52" s="844" t="str">
        <f>Translations!$B$1523</f>
        <v>Central African Republic</v>
      </c>
      <c r="H52" s="844"/>
      <c r="I52" s="844"/>
      <c r="J52" s="860">
        <v>42</v>
      </c>
      <c r="K52" s="862" t="s">
        <v>112</v>
      </c>
      <c r="L52" s="844" t="str">
        <f>Translations!$B$1524</f>
        <v>Djibouti Franc</v>
      </c>
      <c r="M52" s="844"/>
      <c r="N52" s="844"/>
      <c r="W52" s="104"/>
    </row>
    <row r="53" spans="4:23" ht="12.75" customHeight="1" x14ac:dyDescent="0.25">
      <c r="D53" s="420"/>
      <c r="E53" s="860">
        <v>43</v>
      </c>
      <c r="F53" s="862" t="s">
        <v>113</v>
      </c>
      <c r="G53" s="844" t="str">
        <f>Translations!$B$1525</f>
        <v>Congo</v>
      </c>
      <c r="H53" s="844"/>
      <c r="I53" s="844"/>
      <c r="J53" s="860">
        <v>43</v>
      </c>
      <c r="K53" s="862" t="s">
        <v>114</v>
      </c>
      <c r="L53" s="844" t="str">
        <f>Translations!$B$1526</f>
        <v>Danish Krone</v>
      </c>
      <c r="M53" s="844"/>
      <c r="N53" s="844"/>
      <c r="W53" s="104"/>
    </row>
    <row r="54" spans="4:23" ht="12.75" customHeight="1" x14ac:dyDescent="0.25">
      <c r="D54" s="420"/>
      <c r="E54" s="860">
        <v>44</v>
      </c>
      <c r="F54" s="862" t="s">
        <v>115</v>
      </c>
      <c r="G54" s="844" t="str">
        <f>Translations!$B$1527</f>
        <v>Switzerland</v>
      </c>
      <c r="H54" s="844"/>
      <c r="I54" s="844"/>
      <c r="J54" s="860">
        <v>44</v>
      </c>
      <c r="K54" s="862" t="s">
        <v>116</v>
      </c>
      <c r="L54" s="844" t="str">
        <f>Translations!$B$1528</f>
        <v>Dominican Peso</v>
      </c>
      <c r="M54" s="844"/>
      <c r="N54" s="844"/>
      <c r="W54" s="104"/>
    </row>
    <row r="55" spans="4:23" ht="12.75" customHeight="1" x14ac:dyDescent="0.25">
      <c r="D55" s="420"/>
      <c r="E55" s="860">
        <v>45</v>
      </c>
      <c r="F55" s="862" t="s">
        <v>117</v>
      </c>
      <c r="G55" s="844" t="str">
        <f>Translations!$B$1529</f>
        <v>Côte d'Ivoire</v>
      </c>
      <c r="H55" s="844"/>
      <c r="I55" s="844"/>
      <c r="J55" s="860">
        <v>45</v>
      </c>
      <c r="K55" s="862" t="s">
        <v>118</v>
      </c>
      <c r="L55" s="844" t="str">
        <f>Translations!$B$1530</f>
        <v>Algerian Dinar</v>
      </c>
      <c r="M55" s="844"/>
      <c r="N55" s="844"/>
      <c r="W55" s="104"/>
    </row>
    <row r="56" spans="4:23" ht="12.75" customHeight="1" x14ac:dyDescent="0.25">
      <c r="D56" s="420"/>
      <c r="E56" s="860">
        <v>46</v>
      </c>
      <c r="F56" s="862" t="s">
        <v>119</v>
      </c>
      <c r="G56" s="844" t="str">
        <f>Translations!$B$1531</f>
        <v>Cook Islands</v>
      </c>
      <c r="H56" s="844"/>
      <c r="I56" s="844"/>
      <c r="J56" s="860">
        <v>46</v>
      </c>
      <c r="K56" s="862" t="s">
        <v>120</v>
      </c>
      <c r="L56" s="844" t="str">
        <f>Translations!$B$1532</f>
        <v>Egyptian Pound</v>
      </c>
      <c r="M56" s="844"/>
      <c r="N56" s="844"/>
      <c r="W56" s="104"/>
    </row>
    <row r="57" spans="4:23" ht="12.75" customHeight="1" x14ac:dyDescent="0.25">
      <c r="D57" s="420"/>
      <c r="E57" s="860">
        <v>47</v>
      </c>
      <c r="F57" s="862" t="s">
        <v>121</v>
      </c>
      <c r="G57" s="844" t="str">
        <f>Translations!$B$1533</f>
        <v>Chile</v>
      </c>
      <c r="H57" s="844"/>
      <c r="I57" s="844"/>
      <c r="J57" s="860">
        <v>47</v>
      </c>
      <c r="K57" s="862" t="s">
        <v>122</v>
      </c>
      <c r="L57" s="844" t="str">
        <f>Translations!$B$1534</f>
        <v>Nakfa</v>
      </c>
      <c r="M57" s="844"/>
      <c r="N57" s="844"/>
      <c r="W57" s="104"/>
    </row>
    <row r="58" spans="4:23" ht="12.75" customHeight="1" x14ac:dyDescent="0.25">
      <c r="D58" s="420"/>
      <c r="E58" s="860">
        <v>48</v>
      </c>
      <c r="F58" s="862" t="s">
        <v>123</v>
      </c>
      <c r="G58" s="844" t="str">
        <f>Translations!$B$1535</f>
        <v>Cameroon</v>
      </c>
      <c r="H58" s="844"/>
      <c r="I58" s="844"/>
      <c r="J58" s="860">
        <v>48</v>
      </c>
      <c r="K58" s="862" t="s">
        <v>124</v>
      </c>
      <c r="L58" s="844" t="str">
        <f>Translations!$B$1536</f>
        <v>Ethiopian Birr</v>
      </c>
      <c r="M58" s="844"/>
      <c r="N58" s="844"/>
      <c r="W58" s="104"/>
    </row>
    <row r="59" spans="4:23" ht="12.75" customHeight="1" x14ac:dyDescent="0.25">
      <c r="D59" s="420"/>
      <c r="E59" s="860">
        <v>49</v>
      </c>
      <c r="F59" s="862" t="s">
        <v>125</v>
      </c>
      <c r="G59" s="844" t="str">
        <f>Translations!$B$1537</f>
        <v>China</v>
      </c>
      <c r="H59" s="844"/>
      <c r="I59" s="844"/>
      <c r="J59" s="860">
        <v>49</v>
      </c>
      <c r="K59" s="862" t="s">
        <v>126</v>
      </c>
      <c r="L59" s="844" t="str">
        <f>Translations!$B$1538</f>
        <v>Euro</v>
      </c>
      <c r="M59" s="844"/>
      <c r="N59" s="844"/>
      <c r="W59" s="104"/>
    </row>
    <row r="60" spans="4:23" ht="12.75" customHeight="1" x14ac:dyDescent="0.25">
      <c r="D60" s="420"/>
      <c r="E60" s="860">
        <v>50</v>
      </c>
      <c r="F60" s="862" t="s">
        <v>127</v>
      </c>
      <c r="G60" s="844" t="str">
        <f>Translations!$B$1539</f>
        <v>Colombia</v>
      </c>
      <c r="H60" s="844"/>
      <c r="I60" s="844"/>
      <c r="J60" s="860">
        <v>50</v>
      </c>
      <c r="K60" s="862" t="s">
        <v>128</v>
      </c>
      <c r="L60" s="844" t="str">
        <f>Translations!$B$1540</f>
        <v>Fiji Dollar</v>
      </c>
      <c r="M60" s="844"/>
      <c r="N60" s="844"/>
      <c r="W60" s="104"/>
    </row>
    <row r="61" spans="4:23" ht="12.75" customHeight="1" x14ac:dyDescent="0.25">
      <c r="D61" s="420"/>
      <c r="E61" s="860">
        <v>51</v>
      </c>
      <c r="F61" s="862" t="s">
        <v>129</v>
      </c>
      <c r="G61" s="844" t="str">
        <f>Translations!$B$1541</f>
        <v>Costa Rica</v>
      </c>
      <c r="H61" s="844"/>
      <c r="I61" s="844"/>
      <c r="J61" s="860">
        <v>51</v>
      </c>
      <c r="K61" s="862" t="s">
        <v>130</v>
      </c>
      <c r="L61" s="844" t="str">
        <f>Translations!$B$1542</f>
        <v>Falkland Islands Pound</v>
      </c>
      <c r="M61" s="844"/>
      <c r="N61" s="844"/>
      <c r="W61" s="104"/>
    </row>
    <row r="62" spans="4:23" ht="12.75" customHeight="1" x14ac:dyDescent="0.25">
      <c r="D62" s="420"/>
      <c r="E62" s="860">
        <v>52</v>
      </c>
      <c r="F62" s="862" t="s">
        <v>131</v>
      </c>
      <c r="G62" s="844" t="str">
        <f>Translations!$B$1545</f>
        <v>Cuba</v>
      </c>
      <c r="H62" s="844"/>
      <c r="I62" s="844"/>
      <c r="J62" s="860">
        <v>52</v>
      </c>
      <c r="K62" s="862" t="s">
        <v>132</v>
      </c>
      <c r="L62" s="844" t="str">
        <f>Translations!$B$1544</f>
        <v>Pound Sterling</v>
      </c>
      <c r="M62" s="844"/>
      <c r="N62" s="844"/>
      <c r="W62" s="104"/>
    </row>
    <row r="63" spans="4:23" ht="12.75" customHeight="1" x14ac:dyDescent="0.25">
      <c r="D63" s="420"/>
      <c r="E63" s="860">
        <v>53</v>
      </c>
      <c r="F63" s="862" t="s">
        <v>133</v>
      </c>
      <c r="G63" s="844" t="str">
        <f>Translations!$B$1547</f>
        <v>Cape Verde</v>
      </c>
      <c r="H63" s="844"/>
      <c r="I63" s="844"/>
      <c r="J63" s="860">
        <v>53</v>
      </c>
      <c r="K63" s="862" t="s">
        <v>134</v>
      </c>
      <c r="L63" s="844" t="str">
        <f>Translations!$B$1546</f>
        <v>Lari</v>
      </c>
      <c r="M63" s="844"/>
      <c r="N63" s="844"/>
      <c r="W63" s="104"/>
    </row>
    <row r="64" spans="4:23" ht="12.75" customHeight="1" x14ac:dyDescent="0.25">
      <c r="D64" s="420"/>
      <c r="E64" s="860">
        <v>54</v>
      </c>
      <c r="F64" s="862" t="s">
        <v>135</v>
      </c>
      <c r="G64" s="844" t="str">
        <f>Translations!$B$1549</f>
        <v>Curaçao</v>
      </c>
      <c r="H64" s="844"/>
      <c r="I64" s="844"/>
      <c r="J64" s="860">
        <v>54</v>
      </c>
      <c r="K64" s="862" t="s">
        <v>136</v>
      </c>
      <c r="L64" s="844" t="str">
        <f>Translations!$B$1548</f>
        <v>Ghana Cedi</v>
      </c>
      <c r="M64" s="844"/>
      <c r="N64" s="844"/>
      <c r="W64" s="104"/>
    </row>
    <row r="65" spans="4:23" ht="12.75" customHeight="1" x14ac:dyDescent="0.25">
      <c r="D65" s="420"/>
      <c r="E65" s="860">
        <v>55</v>
      </c>
      <c r="F65" s="862" t="s">
        <v>137</v>
      </c>
      <c r="G65" s="844" t="str">
        <f>Translations!$B$1551</f>
        <v>Christmas Island</v>
      </c>
      <c r="H65" s="844"/>
      <c r="I65" s="844"/>
      <c r="J65" s="860">
        <v>55</v>
      </c>
      <c r="K65" s="862" t="s">
        <v>138</v>
      </c>
      <c r="L65" s="844" t="str">
        <f>Translations!$B$1550</f>
        <v>Gibraltar Pound</v>
      </c>
      <c r="M65" s="844"/>
      <c r="N65" s="844"/>
      <c r="W65" s="104"/>
    </row>
    <row r="66" spans="4:23" ht="12.75" customHeight="1" x14ac:dyDescent="0.25">
      <c r="D66" s="420"/>
      <c r="E66" s="860">
        <v>56</v>
      </c>
      <c r="F66" s="862" t="s">
        <v>139</v>
      </c>
      <c r="G66" s="844" t="s">
        <v>140</v>
      </c>
      <c r="H66" s="844"/>
      <c r="I66" s="844"/>
      <c r="J66" s="860">
        <v>56</v>
      </c>
      <c r="K66" s="862" t="s">
        <v>141</v>
      </c>
      <c r="L66" s="844" t="str">
        <f>Translations!$B$1552</f>
        <v>Dalasi</v>
      </c>
      <c r="M66" s="844"/>
      <c r="N66" s="844"/>
      <c r="W66" s="104"/>
    </row>
    <row r="67" spans="4:23" ht="12.75" customHeight="1" x14ac:dyDescent="0.25">
      <c r="D67" s="420"/>
      <c r="E67" s="860">
        <v>57</v>
      </c>
      <c r="F67" s="862" t="s">
        <v>142</v>
      </c>
      <c r="G67" s="844" t="str">
        <f>Translations!$B$1554</f>
        <v>Czechia</v>
      </c>
      <c r="H67" s="844"/>
      <c r="I67" s="844"/>
      <c r="J67" s="860">
        <v>57</v>
      </c>
      <c r="K67" s="862" t="s">
        <v>143</v>
      </c>
      <c r="L67" s="844" t="str">
        <f>Translations!$B$1553</f>
        <v>Guinean Franc</v>
      </c>
      <c r="M67" s="844"/>
      <c r="N67" s="844"/>
      <c r="W67" s="104"/>
    </row>
    <row r="68" spans="4:23" ht="12.75" customHeight="1" x14ac:dyDescent="0.25">
      <c r="D68" s="420"/>
      <c r="E68" s="860">
        <v>58</v>
      </c>
      <c r="F68" s="862" t="s">
        <v>144</v>
      </c>
      <c r="G68" s="844" t="s">
        <v>145</v>
      </c>
      <c r="H68" s="844"/>
      <c r="I68" s="844"/>
      <c r="J68" s="860">
        <v>58</v>
      </c>
      <c r="K68" s="862" t="s">
        <v>146</v>
      </c>
      <c r="L68" s="844" t="str">
        <f>Translations!$B$1555</f>
        <v>Quetzal</v>
      </c>
      <c r="M68" s="844"/>
      <c r="N68" s="844"/>
      <c r="W68" s="104"/>
    </row>
    <row r="69" spans="4:23" ht="12.75" customHeight="1" x14ac:dyDescent="0.25">
      <c r="D69" s="420"/>
      <c r="E69" s="860">
        <v>59</v>
      </c>
      <c r="F69" s="862" t="s">
        <v>147</v>
      </c>
      <c r="G69" s="844" t="str">
        <f>Translations!$B$1557</f>
        <v>Djibouti</v>
      </c>
      <c r="H69" s="844"/>
      <c r="I69" s="844"/>
      <c r="J69" s="860">
        <v>59</v>
      </c>
      <c r="K69" s="862" t="s">
        <v>148</v>
      </c>
      <c r="L69" s="844" t="str">
        <f>Translations!$B$1556</f>
        <v>Guyana Dollar</v>
      </c>
      <c r="M69" s="844"/>
      <c r="N69" s="844"/>
      <c r="W69" s="104"/>
    </row>
    <row r="70" spans="4:23" ht="12.75" customHeight="1" x14ac:dyDescent="0.25">
      <c r="D70" s="420"/>
      <c r="E70" s="860">
        <v>60</v>
      </c>
      <c r="F70" s="862" t="s">
        <v>149</v>
      </c>
      <c r="G70" s="844" t="s">
        <v>150</v>
      </c>
      <c r="H70" s="844"/>
      <c r="I70" s="844"/>
      <c r="J70" s="860">
        <v>60</v>
      </c>
      <c r="K70" s="862" t="s">
        <v>151</v>
      </c>
      <c r="L70" s="844" t="str">
        <f>Translations!$B$1558</f>
        <v>Hong Kong Dollar</v>
      </c>
      <c r="M70" s="844"/>
      <c r="N70" s="844"/>
      <c r="W70" s="104"/>
    </row>
    <row r="71" spans="4:23" ht="12.75" customHeight="1" x14ac:dyDescent="0.25">
      <c r="D71" s="420"/>
      <c r="E71" s="860">
        <v>61</v>
      </c>
      <c r="F71" s="862" t="s">
        <v>152</v>
      </c>
      <c r="G71" s="844" t="str">
        <f>Translations!$B$1560</f>
        <v>Dominica</v>
      </c>
      <c r="H71" s="844"/>
      <c r="I71" s="844"/>
      <c r="J71" s="860">
        <v>61</v>
      </c>
      <c r="K71" s="862" t="s">
        <v>153</v>
      </c>
      <c r="L71" s="844" t="str">
        <f>Translations!$B$1559</f>
        <v>Lempira</v>
      </c>
      <c r="M71" s="844"/>
      <c r="N71" s="844"/>
      <c r="W71" s="104"/>
    </row>
    <row r="72" spans="4:23" ht="12.75" customHeight="1" x14ac:dyDescent="0.25">
      <c r="D72" s="420"/>
      <c r="E72" s="860">
        <v>62</v>
      </c>
      <c r="F72" s="862" t="s">
        <v>154</v>
      </c>
      <c r="G72" s="844" t="str">
        <f>Translations!$B$1562</f>
        <v>Dominican Republic</v>
      </c>
      <c r="H72" s="844"/>
      <c r="I72" s="844"/>
      <c r="J72" s="860">
        <v>62</v>
      </c>
      <c r="K72" s="862" t="s">
        <v>155</v>
      </c>
      <c r="L72" s="844" t="str">
        <f>Translations!$B$1561</f>
        <v>Gourde</v>
      </c>
      <c r="M72" s="844"/>
      <c r="N72" s="844"/>
      <c r="W72" s="104"/>
    </row>
    <row r="73" spans="4:23" ht="12.75" customHeight="1" x14ac:dyDescent="0.25">
      <c r="D73" s="420"/>
      <c r="E73" s="860">
        <v>63</v>
      </c>
      <c r="F73" s="862" t="s">
        <v>156</v>
      </c>
      <c r="G73" s="844" t="str">
        <f>Translations!$B$1564</f>
        <v>Algeria</v>
      </c>
      <c r="H73" s="844"/>
      <c r="I73" s="844"/>
      <c r="J73" s="860">
        <v>63</v>
      </c>
      <c r="K73" s="862" t="s">
        <v>157</v>
      </c>
      <c r="L73" s="844" t="str">
        <f>Translations!$B$1563</f>
        <v>Forint</v>
      </c>
      <c r="M73" s="844"/>
      <c r="N73" s="844"/>
      <c r="W73" s="104"/>
    </row>
    <row r="74" spans="4:23" ht="12.75" customHeight="1" x14ac:dyDescent="0.25">
      <c r="D74" s="420"/>
      <c r="E74" s="860">
        <v>64</v>
      </c>
      <c r="F74" s="862" t="s">
        <v>158</v>
      </c>
      <c r="G74" s="844" t="str">
        <f>Translations!$B$1566</f>
        <v>Ecuador</v>
      </c>
      <c r="H74" s="844"/>
      <c r="I74" s="844"/>
      <c r="J74" s="860">
        <v>64</v>
      </c>
      <c r="K74" s="862" t="s">
        <v>159</v>
      </c>
      <c r="L74" s="844" t="str">
        <f>Translations!$B$1565</f>
        <v>Rupiah</v>
      </c>
      <c r="M74" s="844"/>
      <c r="N74" s="844"/>
      <c r="W74" s="104"/>
    </row>
    <row r="75" spans="4:23" ht="12.75" customHeight="1" x14ac:dyDescent="0.25">
      <c r="D75" s="420"/>
      <c r="E75" s="860">
        <v>65</v>
      </c>
      <c r="F75" s="862" t="s">
        <v>160</v>
      </c>
      <c r="G75" s="844" t="s">
        <v>161</v>
      </c>
      <c r="H75" s="844"/>
      <c r="I75" s="844"/>
      <c r="J75" s="860">
        <v>65</v>
      </c>
      <c r="K75" s="862" t="s">
        <v>162</v>
      </c>
      <c r="L75" s="844" t="str">
        <f>Translations!$B$1567</f>
        <v>New Israeli Sheqel</v>
      </c>
      <c r="M75" s="844"/>
      <c r="N75" s="844"/>
      <c r="W75" s="104"/>
    </row>
    <row r="76" spans="4:23" ht="12.75" customHeight="1" x14ac:dyDescent="0.25">
      <c r="D76" s="420"/>
      <c r="E76" s="860">
        <v>66</v>
      </c>
      <c r="F76" s="862" t="s">
        <v>163</v>
      </c>
      <c r="G76" s="844" t="str">
        <f>Translations!$B$1569</f>
        <v>Egypt</v>
      </c>
      <c r="H76" s="844"/>
      <c r="I76" s="844"/>
      <c r="J76" s="860">
        <v>66</v>
      </c>
      <c r="K76" s="862" t="s">
        <v>164</v>
      </c>
      <c r="L76" s="844" t="str">
        <f>Translations!$B$1568</f>
        <v>Indian Rupee</v>
      </c>
      <c r="M76" s="844"/>
      <c r="N76" s="844"/>
      <c r="W76" s="104"/>
    </row>
    <row r="77" spans="4:23" ht="12.75" customHeight="1" x14ac:dyDescent="0.25">
      <c r="D77" s="420"/>
      <c r="E77" s="860">
        <v>67</v>
      </c>
      <c r="F77" s="862" t="s">
        <v>165</v>
      </c>
      <c r="G77" s="844" t="str">
        <f>Translations!$B$1571</f>
        <v>Western Sahara</v>
      </c>
      <c r="H77" s="844"/>
      <c r="I77" s="844"/>
      <c r="J77" s="860">
        <v>67</v>
      </c>
      <c r="K77" s="862" t="s">
        <v>166</v>
      </c>
      <c r="L77" s="844" t="str">
        <f>Translations!$B$1570</f>
        <v>Iraqi Dinar</v>
      </c>
      <c r="M77" s="844"/>
      <c r="N77" s="844"/>
      <c r="W77" s="104"/>
    </row>
    <row r="78" spans="4:23" ht="12.75" customHeight="1" x14ac:dyDescent="0.25">
      <c r="D78" s="420"/>
      <c r="E78" s="860">
        <v>68</v>
      </c>
      <c r="F78" s="862" t="s">
        <v>167</v>
      </c>
      <c r="G78" s="844" t="str">
        <f>Translations!$B$1573</f>
        <v>Eritrea</v>
      </c>
      <c r="H78" s="844"/>
      <c r="I78" s="844"/>
      <c r="J78" s="860">
        <v>68</v>
      </c>
      <c r="K78" s="862" t="s">
        <v>168</v>
      </c>
      <c r="L78" s="844" t="str">
        <f>Translations!$B$1572</f>
        <v>Iranian Rial</v>
      </c>
      <c r="M78" s="844"/>
      <c r="N78" s="844"/>
      <c r="W78" s="104"/>
    </row>
    <row r="79" spans="4:23" ht="12.75" customHeight="1" x14ac:dyDescent="0.25">
      <c r="D79" s="420"/>
      <c r="E79" s="860">
        <v>69</v>
      </c>
      <c r="F79" s="862" t="s">
        <v>169</v>
      </c>
      <c r="G79" s="844" t="s">
        <v>170</v>
      </c>
      <c r="H79" s="844"/>
      <c r="I79" s="844"/>
      <c r="J79" s="860">
        <v>69</v>
      </c>
      <c r="K79" s="862" t="s">
        <v>171</v>
      </c>
      <c r="L79" s="844" t="str">
        <f>Translations!$B$1574</f>
        <v>Iceland Krona</v>
      </c>
      <c r="M79" s="844"/>
      <c r="N79" s="844"/>
      <c r="W79" s="104"/>
    </row>
    <row r="80" spans="4:23" ht="12.75" customHeight="1" x14ac:dyDescent="0.25">
      <c r="D80" s="420"/>
      <c r="E80" s="860">
        <v>70</v>
      </c>
      <c r="F80" s="862" t="s">
        <v>172</v>
      </c>
      <c r="G80" s="844" t="str">
        <f>Translations!$B$1576</f>
        <v>Ethiopia</v>
      </c>
      <c r="H80" s="844"/>
      <c r="I80" s="844"/>
      <c r="J80" s="860">
        <v>70</v>
      </c>
      <c r="K80" s="862" t="s">
        <v>173</v>
      </c>
      <c r="L80" s="844" t="str">
        <f>Translations!$B$1575</f>
        <v>Jamaican Dollar</v>
      </c>
      <c r="M80" s="844"/>
      <c r="N80" s="844"/>
      <c r="W80" s="104"/>
    </row>
    <row r="81" spans="4:23" ht="12.75" customHeight="1" x14ac:dyDescent="0.25">
      <c r="D81" s="420"/>
      <c r="E81" s="860">
        <v>71</v>
      </c>
      <c r="F81" s="862" t="s">
        <v>174</v>
      </c>
      <c r="G81" s="844" t="str">
        <f>Translations!$B$1578</f>
        <v>European Community</v>
      </c>
      <c r="H81" s="844"/>
      <c r="I81" s="844"/>
      <c r="J81" s="860">
        <v>71</v>
      </c>
      <c r="K81" s="862" t="s">
        <v>175</v>
      </c>
      <c r="L81" s="844" t="str">
        <f>Translations!$B$1577</f>
        <v>Jordanian Dinar</v>
      </c>
      <c r="M81" s="844"/>
      <c r="N81" s="844"/>
      <c r="W81" s="104"/>
    </row>
    <row r="82" spans="4:23" ht="12.75" customHeight="1" x14ac:dyDescent="0.25">
      <c r="D82" s="420"/>
      <c r="E82" s="860">
        <v>72</v>
      </c>
      <c r="F82" s="862" t="s">
        <v>176</v>
      </c>
      <c r="G82" s="844" t="s">
        <v>177</v>
      </c>
      <c r="H82" s="844"/>
      <c r="I82" s="844"/>
      <c r="J82" s="860">
        <v>72</v>
      </c>
      <c r="K82" s="862" t="s">
        <v>178</v>
      </c>
      <c r="L82" s="844" t="str">
        <f>Translations!$B$1579</f>
        <v>Yen</v>
      </c>
      <c r="M82" s="844"/>
      <c r="N82" s="844"/>
      <c r="W82" s="104"/>
    </row>
    <row r="83" spans="4:23" ht="12.75" customHeight="1" x14ac:dyDescent="0.25">
      <c r="D83" s="420"/>
      <c r="E83" s="860">
        <v>73</v>
      </c>
      <c r="F83" s="862" t="s">
        <v>179</v>
      </c>
      <c r="G83" s="844" t="str">
        <f>Translations!$B$1581</f>
        <v>Fiji</v>
      </c>
      <c r="H83" s="844"/>
      <c r="I83" s="844"/>
      <c r="J83" s="860">
        <v>73</v>
      </c>
      <c r="K83" s="862" t="s">
        <v>180</v>
      </c>
      <c r="L83" s="844" t="str">
        <f>Translations!$B$1580</f>
        <v>Kenyan Shilling</v>
      </c>
      <c r="M83" s="844"/>
      <c r="N83" s="844"/>
      <c r="W83" s="104"/>
    </row>
    <row r="84" spans="4:23" ht="12.75" customHeight="1" x14ac:dyDescent="0.25">
      <c r="D84" s="420"/>
      <c r="E84" s="860">
        <v>74</v>
      </c>
      <c r="F84" s="862" t="s">
        <v>181</v>
      </c>
      <c r="G84" s="844" t="str">
        <f>Translations!$B$1583</f>
        <v>Falkland Islands</v>
      </c>
      <c r="H84" s="844"/>
      <c r="I84" s="844"/>
      <c r="J84" s="860">
        <v>74</v>
      </c>
      <c r="K84" s="862" t="s">
        <v>182</v>
      </c>
      <c r="L84" s="844" t="str">
        <f>Translations!$B$1582</f>
        <v>Som</v>
      </c>
      <c r="M84" s="844"/>
      <c r="N84" s="844"/>
      <c r="W84" s="104"/>
    </row>
    <row r="85" spans="4:23" ht="12.75" customHeight="1" x14ac:dyDescent="0.25">
      <c r="D85" s="420"/>
      <c r="E85" s="860">
        <v>75</v>
      </c>
      <c r="F85" s="862" t="s">
        <v>183</v>
      </c>
      <c r="G85" s="844" t="str">
        <f>Translations!$B$1585</f>
        <v>Micronesia, Federated States of</v>
      </c>
      <c r="H85" s="844"/>
      <c r="I85" s="844"/>
      <c r="J85" s="860">
        <v>75</v>
      </c>
      <c r="K85" s="862" t="s">
        <v>184</v>
      </c>
      <c r="L85" s="844" t="str">
        <f>Translations!$B$1584</f>
        <v>Riel</v>
      </c>
      <c r="M85" s="844"/>
      <c r="N85" s="844"/>
      <c r="W85" s="104"/>
    </row>
    <row r="86" spans="4:23" ht="12.75" customHeight="1" x14ac:dyDescent="0.25">
      <c r="D86" s="420"/>
      <c r="E86" s="860">
        <v>76</v>
      </c>
      <c r="F86" s="862" t="s">
        <v>185</v>
      </c>
      <c r="G86" s="844" t="str">
        <f>Translations!$B$1587</f>
        <v>Faroe Islands</v>
      </c>
      <c r="H86" s="844"/>
      <c r="I86" s="844"/>
      <c r="J86" s="860">
        <v>76</v>
      </c>
      <c r="K86" s="862" t="s">
        <v>186</v>
      </c>
      <c r="L86" s="844" t="str">
        <f>Translations!$B$1586</f>
        <v>Comorian Franc</v>
      </c>
      <c r="M86" s="844"/>
      <c r="N86" s="844"/>
      <c r="W86" s="104"/>
    </row>
    <row r="87" spans="4:23" ht="12.75" customHeight="1" x14ac:dyDescent="0.25">
      <c r="D87" s="420"/>
      <c r="E87" s="860">
        <v>77</v>
      </c>
      <c r="F87" s="862" t="s">
        <v>187</v>
      </c>
      <c r="G87" s="844" t="s">
        <v>188</v>
      </c>
      <c r="H87" s="844"/>
      <c r="I87" s="844"/>
      <c r="J87" s="860">
        <v>77</v>
      </c>
      <c r="K87" s="862" t="s">
        <v>189</v>
      </c>
      <c r="L87" s="844" t="str">
        <f>Translations!$B$1588</f>
        <v>North Korean Won</v>
      </c>
      <c r="M87" s="844"/>
      <c r="N87" s="844"/>
      <c r="W87" s="104"/>
    </row>
    <row r="88" spans="4:23" ht="12.75" customHeight="1" x14ac:dyDescent="0.25">
      <c r="D88" s="420"/>
      <c r="E88" s="860">
        <v>78</v>
      </c>
      <c r="F88" s="862" t="s">
        <v>190</v>
      </c>
      <c r="G88" s="844" t="str">
        <f>Translations!$B$1590</f>
        <v>Gabon</v>
      </c>
      <c r="H88" s="844"/>
      <c r="I88" s="844"/>
      <c r="J88" s="860">
        <v>78</v>
      </c>
      <c r="K88" s="862" t="s">
        <v>191</v>
      </c>
      <c r="L88" s="844" t="str">
        <f>Translations!$B$1589</f>
        <v>Won</v>
      </c>
      <c r="M88" s="844"/>
      <c r="N88" s="844"/>
      <c r="W88" s="104"/>
    </row>
    <row r="89" spans="4:23" ht="12.75" customHeight="1" x14ac:dyDescent="0.25">
      <c r="D89" s="420"/>
      <c r="E89" s="860">
        <v>79</v>
      </c>
      <c r="F89" s="862" t="s">
        <v>192</v>
      </c>
      <c r="G89" s="844" t="s">
        <v>193</v>
      </c>
      <c r="H89" s="844"/>
      <c r="I89" s="844"/>
      <c r="J89" s="860">
        <v>79</v>
      </c>
      <c r="K89" s="862" t="s">
        <v>194</v>
      </c>
      <c r="L89" s="844" t="str">
        <f>Translations!$B$1591</f>
        <v>Kuwaiti Dinar</v>
      </c>
      <c r="M89" s="844"/>
      <c r="N89" s="844"/>
      <c r="W89" s="104"/>
    </row>
    <row r="90" spans="4:23" ht="12.75" customHeight="1" x14ac:dyDescent="0.25">
      <c r="D90" s="420"/>
      <c r="E90" s="860">
        <v>80</v>
      </c>
      <c r="F90" s="862" t="s">
        <v>195</v>
      </c>
      <c r="G90" s="844" t="str">
        <f>Translations!$B$1593</f>
        <v>Grenada</v>
      </c>
      <c r="H90" s="844"/>
      <c r="I90" s="844"/>
      <c r="J90" s="860">
        <v>80</v>
      </c>
      <c r="K90" s="862" t="s">
        <v>196</v>
      </c>
      <c r="L90" s="844" t="str">
        <f>Translations!$B$1592</f>
        <v>Cayman Islands Dollar</v>
      </c>
      <c r="M90" s="844"/>
      <c r="N90" s="844"/>
      <c r="W90" s="104"/>
    </row>
    <row r="91" spans="4:23" ht="12.75" customHeight="1" x14ac:dyDescent="0.25">
      <c r="D91" s="420"/>
      <c r="E91" s="860">
        <v>81</v>
      </c>
      <c r="F91" s="862" t="s">
        <v>197</v>
      </c>
      <c r="G91" s="844" t="str">
        <f>Translations!$B$1595</f>
        <v>Georgia</v>
      </c>
      <c r="H91" s="844"/>
      <c r="I91" s="844"/>
      <c r="J91" s="860">
        <v>81</v>
      </c>
      <c r="K91" s="862" t="s">
        <v>198</v>
      </c>
      <c r="L91" s="844" t="str">
        <f>Translations!$B$1594</f>
        <v>Tenge</v>
      </c>
      <c r="M91" s="844"/>
      <c r="N91" s="844"/>
      <c r="W91" s="104"/>
    </row>
    <row r="92" spans="4:23" ht="12.75" customHeight="1" x14ac:dyDescent="0.25">
      <c r="D92" s="420"/>
      <c r="E92" s="860">
        <v>82</v>
      </c>
      <c r="F92" s="862" t="s">
        <v>199</v>
      </c>
      <c r="G92" s="844" t="str">
        <f>Translations!$B$1597</f>
        <v>French Guyana</v>
      </c>
      <c r="H92" s="844"/>
      <c r="I92" s="844"/>
      <c r="J92" s="860">
        <v>82</v>
      </c>
      <c r="K92" s="862" t="s">
        <v>200</v>
      </c>
      <c r="L92" s="844" t="str">
        <f>Translations!$B$1596</f>
        <v>Lao Kip</v>
      </c>
      <c r="M92" s="844"/>
      <c r="N92" s="844"/>
      <c r="W92" s="104"/>
    </row>
    <row r="93" spans="4:23" ht="12.75" customHeight="1" x14ac:dyDescent="0.25">
      <c r="D93" s="420"/>
      <c r="E93" s="860">
        <v>83</v>
      </c>
      <c r="F93" s="862" t="s">
        <v>201</v>
      </c>
      <c r="G93" s="844" t="str">
        <f>Translations!$B$1599</f>
        <v>Guernsey</v>
      </c>
      <c r="H93" s="844"/>
      <c r="I93" s="844"/>
      <c r="J93" s="860">
        <v>83</v>
      </c>
      <c r="K93" s="862" t="s">
        <v>202</v>
      </c>
      <c r="L93" s="844" t="str">
        <f>Translations!$B$1598</f>
        <v>Lebanese Pound</v>
      </c>
      <c r="M93" s="844"/>
      <c r="N93" s="844"/>
      <c r="W93" s="104"/>
    </row>
    <row r="94" spans="4:23" ht="12.75" customHeight="1" x14ac:dyDescent="0.25">
      <c r="D94" s="420"/>
      <c r="E94" s="860">
        <v>84</v>
      </c>
      <c r="F94" s="862" t="s">
        <v>203</v>
      </c>
      <c r="G94" s="844" t="str">
        <f>Translations!$B$1601</f>
        <v>Ghana</v>
      </c>
      <c r="H94" s="844"/>
      <c r="I94" s="844"/>
      <c r="J94" s="860">
        <v>84</v>
      </c>
      <c r="K94" s="862" t="s">
        <v>204</v>
      </c>
      <c r="L94" s="844" t="str">
        <f>Translations!$B$1600</f>
        <v>Sri Lanka Rupee</v>
      </c>
      <c r="M94" s="844"/>
      <c r="N94" s="844"/>
      <c r="W94" s="104"/>
    </row>
    <row r="95" spans="4:23" ht="12.75" customHeight="1" x14ac:dyDescent="0.25">
      <c r="D95" s="420"/>
      <c r="E95" s="860">
        <v>85</v>
      </c>
      <c r="F95" s="862" t="s">
        <v>205</v>
      </c>
      <c r="G95" s="844" t="str">
        <f>Translations!$B$1603</f>
        <v>Gibraltar</v>
      </c>
      <c r="H95" s="844"/>
      <c r="I95" s="844"/>
      <c r="J95" s="860">
        <v>85</v>
      </c>
      <c r="K95" s="862" t="s">
        <v>206</v>
      </c>
      <c r="L95" s="844" t="str">
        <f>Translations!$B$1602</f>
        <v>Liberian Dollar</v>
      </c>
      <c r="M95" s="844"/>
      <c r="N95" s="844"/>
      <c r="W95" s="104"/>
    </row>
    <row r="96" spans="4:23" ht="12.75" customHeight="1" x14ac:dyDescent="0.25">
      <c r="D96" s="420"/>
      <c r="E96" s="860">
        <v>86</v>
      </c>
      <c r="F96" s="862" t="s">
        <v>207</v>
      </c>
      <c r="G96" s="844" t="str">
        <f>Translations!$B$1605</f>
        <v>Greenland</v>
      </c>
      <c r="H96" s="844"/>
      <c r="I96" s="844"/>
      <c r="J96" s="860">
        <v>86</v>
      </c>
      <c r="K96" s="862" t="s">
        <v>208</v>
      </c>
      <c r="L96" s="844" t="str">
        <f>Translations!$B$1604</f>
        <v>Loti</v>
      </c>
      <c r="M96" s="844"/>
      <c r="N96" s="844"/>
      <c r="W96" s="104"/>
    </row>
    <row r="97" spans="4:23" ht="12.75" customHeight="1" x14ac:dyDescent="0.25">
      <c r="D97" s="420"/>
      <c r="E97" s="860">
        <v>87</v>
      </c>
      <c r="F97" s="862" t="s">
        <v>209</v>
      </c>
      <c r="G97" s="844" t="str">
        <f>Translations!$B$1607</f>
        <v>Gambia</v>
      </c>
      <c r="H97" s="844"/>
      <c r="I97" s="844"/>
      <c r="J97" s="860">
        <v>87</v>
      </c>
      <c r="K97" s="862" t="s">
        <v>210</v>
      </c>
      <c r="L97" s="844" t="str">
        <f>Translations!$B$1606</f>
        <v>Libyan Dinar</v>
      </c>
      <c r="M97" s="844"/>
      <c r="N97" s="844"/>
      <c r="W97" s="104"/>
    </row>
    <row r="98" spans="4:23" ht="12.75" customHeight="1" x14ac:dyDescent="0.25">
      <c r="D98" s="420"/>
      <c r="E98" s="860">
        <v>88</v>
      </c>
      <c r="F98" s="862" t="s">
        <v>211</v>
      </c>
      <c r="G98" s="844" t="str">
        <f>Translations!$B$1609</f>
        <v>Guinea</v>
      </c>
      <c r="H98" s="844"/>
      <c r="I98" s="844"/>
      <c r="J98" s="860">
        <v>88</v>
      </c>
      <c r="K98" s="862" t="s">
        <v>212</v>
      </c>
      <c r="L98" s="844" t="str">
        <f>Translations!$B$1608</f>
        <v>Moroccan Dirham</v>
      </c>
      <c r="M98" s="844"/>
      <c r="N98" s="844"/>
      <c r="W98" s="104"/>
    </row>
    <row r="99" spans="4:23" ht="12.75" customHeight="1" x14ac:dyDescent="0.25">
      <c r="D99" s="420"/>
      <c r="E99" s="860">
        <v>89</v>
      </c>
      <c r="F99" s="862" t="s">
        <v>213</v>
      </c>
      <c r="G99" s="844" t="str">
        <f>Translations!$B$1611</f>
        <v>Guadeloupe</v>
      </c>
      <c r="H99" s="844"/>
      <c r="I99" s="844"/>
      <c r="J99" s="860">
        <v>89</v>
      </c>
      <c r="K99" s="862" t="s">
        <v>214</v>
      </c>
      <c r="L99" s="844" t="str">
        <f>Translations!$B$1610</f>
        <v>Moldovan Leu</v>
      </c>
      <c r="M99" s="844"/>
      <c r="N99" s="844"/>
      <c r="W99" s="104"/>
    </row>
    <row r="100" spans="4:23" ht="12.75" customHeight="1" x14ac:dyDescent="0.25">
      <c r="D100" s="420"/>
      <c r="E100" s="860">
        <v>90</v>
      </c>
      <c r="F100" s="862" t="s">
        <v>215</v>
      </c>
      <c r="G100" s="844" t="str">
        <f>Translations!$B$1613</f>
        <v>Equatorial Guinea</v>
      </c>
      <c r="H100" s="844"/>
      <c r="I100" s="844"/>
      <c r="J100" s="860">
        <v>90</v>
      </c>
      <c r="K100" s="862" t="s">
        <v>216</v>
      </c>
      <c r="L100" s="844" t="str">
        <f>Translations!$B$1612</f>
        <v>Malagasy Ariary</v>
      </c>
      <c r="M100" s="844"/>
      <c r="N100" s="844"/>
      <c r="W100" s="104"/>
    </row>
    <row r="101" spans="4:23" ht="12.75" customHeight="1" x14ac:dyDescent="0.25">
      <c r="D101" s="420"/>
      <c r="E101" s="860">
        <v>91</v>
      </c>
      <c r="F101" s="862" t="s">
        <v>217</v>
      </c>
      <c r="G101" s="844" t="s">
        <v>218</v>
      </c>
      <c r="H101" s="844"/>
      <c r="I101" s="844"/>
      <c r="J101" s="860">
        <v>91</v>
      </c>
      <c r="K101" s="862" t="s">
        <v>219</v>
      </c>
      <c r="L101" s="844" t="str">
        <f>Translations!$B$1614</f>
        <v>Denar</v>
      </c>
      <c r="M101" s="844"/>
      <c r="N101" s="844"/>
      <c r="W101" s="104"/>
    </row>
    <row r="102" spans="4:23" ht="12.75" customHeight="1" x14ac:dyDescent="0.25">
      <c r="D102" s="420"/>
      <c r="E102" s="860">
        <v>92</v>
      </c>
      <c r="F102" s="862" t="s">
        <v>220</v>
      </c>
      <c r="G102" s="844" t="str">
        <f>Translations!$B$1616</f>
        <v>South Georgia and South Sandwich</v>
      </c>
      <c r="H102" s="844"/>
      <c r="I102" s="844"/>
      <c r="J102" s="860">
        <v>92</v>
      </c>
      <c r="K102" s="862" t="s">
        <v>221</v>
      </c>
      <c r="L102" s="844" t="str">
        <f>Translations!$B$1615</f>
        <v>Kyat</v>
      </c>
      <c r="M102" s="844"/>
      <c r="N102" s="844"/>
      <c r="W102" s="104"/>
    </row>
    <row r="103" spans="4:23" ht="12.75" customHeight="1" x14ac:dyDescent="0.25">
      <c r="D103" s="420"/>
      <c r="E103" s="860">
        <v>93</v>
      </c>
      <c r="F103" s="862" t="s">
        <v>222</v>
      </c>
      <c r="G103" s="844" t="str">
        <f>Translations!$B$1618</f>
        <v>Guatemala</v>
      </c>
      <c r="H103" s="844"/>
      <c r="I103" s="844"/>
      <c r="J103" s="860">
        <v>93</v>
      </c>
      <c r="K103" s="862" t="s">
        <v>223</v>
      </c>
      <c r="L103" s="844" t="str">
        <f>Translations!$B$1617</f>
        <v>Tugrik</v>
      </c>
      <c r="M103" s="844"/>
      <c r="N103" s="844"/>
      <c r="W103" s="104"/>
    </row>
    <row r="104" spans="4:23" ht="12.75" customHeight="1" x14ac:dyDescent="0.25">
      <c r="D104" s="420"/>
      <c r="E104" s="860">
        <v>94</v>
      </c>
      <c r="F104" s="862" t="s">
        <v>224</v>
      </c>
      <c r="G104" s="844" t="str">
        <f>Translations!$B$1620</f>
        <v>Guam</v>
      </c>
      <c r="H104" s="844"/>
      <c r="I104" s="844"/>
      <c r="J104" s="860">
        <v>94</v>
      </c>
      <c r="K104" s="862" t="s">
        <v>225</v>
      </c>
      <c r="L104" s="844" t="str">
        <f>Translations!$B$1619</f>
        <v>Pataca</v>
      </c>
      <c r="M104" s="844"/>
      <c r="N104" s="844"/>
      <c r="W104" s="104"/>
    </row>
    <row r="105" spans="4:23" ht="12.75" customHeight="1" x14ac:dyDescent="0.25">
      <c r="D105" s="420"/>
      <c r="E105" s="860">
        <v>95</v>
      </c>
      <c r="F105" s="862" t="s">
        <v>226</v>
      </c>
      <c r="G105" s="844" t="str">
        <f>Translations!$B$1622</f>
        <v>Guinea-Bissau</v>
      </c>
      <c r="H105" s="844"/>
      <c r="I105" s="844"/>
      <c r="J105" s="860">
        <v>95</v>
      </c>
      <c r="K105" s="862" t="s">
        <v>227</v>
      </c>
      <c r="L105" s="844" t="str">
        <f>Translations!$B$1621</f>
        <v>Ouguiya</v>
      </c>
      <c r="M105" s="844"/>
      <c r="N105" s="844"/>
      <c r="W105" s="104"/>
    </row>
    <row r="106" spans="4:23" ht="12.75" customHeight="1" x14ac:dyDescent="0.25">
      <c r="D106" s="420"/>
      <c r="E106" s="860">
        <v>96</v>
      </c>
      <c r="F106" s="862" t="s">
        <v>228</v>
      </c>
      <c r="G106" s="844" t="str">
        <f>Translations!$B$1624</f>
        <v>Guyana</v>
      </c>
      <c r="H106" s="844"/>
      <c r="I106" s="844"/>
      <c r="J106" s="860">
        <v>96</v>
      </c>
      <c r="K106" s="862" t="s">
        <v>229</v>
      </c>
      <c r="L106" s="844" t="str">
        <f>Translations!$B$1623</f>
        <v>Mauritius Rupee</v>
      </c>
      <c r="M106" s="844"/>
      <c r="N106" s="844"/>
      <c r="W106" s="104"/>
    </row>
    <row r="107" spans="4:23" ht="12.75" customHeight="1" x14ac:dyDescent="0.25">
      <c r="D107" s="420"/>
      <c r="E107" s="860">
        <v>97</v>
      </c>
      <c r="F107" s="862" t="s">
        <v>230</v>
      </c>
      <c r="G107" s="844" t="str">
        <f>Translations!$B$1626</f>
        <v>Hong Kong</v>
      </c>
      <c r="H107" s="844"/>
      <c r="I107" s="844"/>
      <c r="J107" s="860">
        <v>97</v>
      </c>
      <c r="K107" s="862" t="s">
        <v>231</v>
      </c>
      <c r="L107" s="844" t="str">
        <f>Translations!$B$1625</f>
        <v>Rufiyaa</v>
      </c>
      <c r="M107" s="844"/>
      <c r="N107" s="844"/>
      <c r="W107" s="104"/>
    </row>
    <row r="108" spans="4:23" ht="12.75" customHeight="1" x14ac:dyDescent="0.25">
      <c r="D108" s="420"/>
      <c r="E108" s="860">
        <v>98</v>
      </c>
      <c r="F108" s="862" t="s">
        <v>232</v>
      </c>
      <c r="G108" s="844" t="str">
        <f>Translations!$B$1628</f>
        <v>Heard Island and McDonald Islands</v>
      </c>
      <c r="H108" s="844"/>
      <c r="I108" s="844"/>
      <c r="J108" s="860">
        <v>98</v>
      </c>
      <c r="K108" s="862" t="s">
        <v>233</v>
      </c>
      <c r="L108" s="844" t="str">
        <f>Translations!$B$1627</f>
        <v>Malawi Kwacha</v>
      </c>
      <c r="M108" s="844"/>
      <c r="N108" s="844"/>
      <c r="W108" s="104"/>
    </row>
    <row r="109" spans="4:23" ht="12.75" customHeight="1" x14ac:dyDescent="0.25">
      <c r="D109" s="420"/>
      <c r="E109" s="860">
        <v>99</v>
      </c>
      <c r="F109" s="862" t="s">
        <v>234</v>
      </c>
      <c r="G109" s="844" t="str">
        <f>Translations!$B$1630</f>
        <v>Honduras</v>
      </c>
      <c r="H109" s="844"/>
      <c r="I109" s="844"/>
      <c r="J109" s="860">
        <v>99</v>
      </c>
      <c r="K109" s="862" t="s">
        <v>235</v>
      </c>
      <c r="L109" s="844" t="str">
        <f>Translations!$B$1629</f>
        <v>Mexican Peso</v>
      </c>
      <c r="M109" s="844"/>
      <c r="N109" s="844"/>
      <c r="W109" s="104"/>
    </row>
    <row r="110" spans="4:23" ht="12.75" customHeight="1" x14ac:dyDescent="0.25">
      <c r="D110" s="420"/>
      <c r="E110" s="860">
        <v>100</v>
      </c>
      <c r="F110" s="862" t="s">
        <v>236</v>
      </c>
      <c r="G110" s="844" t="s">
        <v>237</v>
      </c>
      <c r="H110" s="844"/>
      <c r="I110" s="844"/>
      <c r="J110" s="860">
        <v>100</v>
      </c>
      <c r="K110" s="862" t="s">
        <v>238</v>
      </c>
      <c r="L110" s="844" t="str">
        <f>Translations!$B$1631</f>
        <v>Mexican Unidad de Inversion (UDI)</v>
      </c>
      <c r="M110" s="844"/>
      <c r="N110" s="844"/>
      <c r="W110" s="104"/>
    </row>
    <row r="111" spans="4:23" ht="12.75" customHeight="1" x14ac:dyDescent="0.25">
      <c r="D111" s="420"/>
      <c r="E111" s="860">
        <v>101</v>
      </c>
      <c r="F111" s="862" t="s">
        <v>239</v>
      </c>
      <c r="G111" s="844" t="str">
        <f>Translations!$B$1633</f>
        <v>Haiti</v>
      </c>
      <c r="H111" s="844"/>
      <c r="I111" s="844"/>
      <c r="J111" s="860">
        <v>101</v>
      </c>
      <c r="K111" s="862" t="s">
        <v>240</v>
      </c>
      <c r="L111" s="844" t="str">
        <f>Translations!$B$1632</f>
        <v>Malaysian Ringgit</v>
      </c>
      <c r="M111" s="844"/>
      <c r="N111" s="844"/>
      <c r="W111" s="104"/>
    </row>
    <row r="112" spans="4:23" ht="12.75" customHeight="1" x14ac:dyDescent="0.25">
      <c r="D112" s="420"/>
      <c r="E112" s="860">
        <v>102</v>
      </c>
      <c r="F112" s="862" t="s">
        <v>241</v>
      </c>
      <c r="G112" s="844" t="s">
        <v>242</v>
      </c>
      <c r="H112" s="844"/>
      <c r="I112" s="844"/>
      <c r="J112" s="860">
        <v>102</v>
      </c>
      <c r="K112" s="862" t="s">
        <v>243</v>
      </c>
      <c r="L112" s="844" t="str">
        <f>Translations!$B$1634</f>
        <v>Mozambique Metical</v>
      </c>
      <c r="M112" s="844"/>
      <c r="N112" s="844"/>
      <c r="W112" s="104"/>
    </row>
    <row r="113" spans="4:23" ht="12.75" customHeight="1" x14ac:dyDescent="0.25">
      <c r="D113" s="420"/>
      <c r="E113" s="860">
        <v>103</v>
      </c>
      <c r="F113" s="862" t="s">
        <v>244</v>
      </c>
      <c r="G113" s="844" t="str">
        <f>Translations!$B$1636</f>
        <v>Indonesia</v>
      </c>
      <c r="H113" s="844"/>
      <c r="I113" s="844"/>
      <c r="J113" s="860">
        <v>103</v>
      </c>
      <c r="K113" s="862" t="s">
        <v>245</v>
      </c>
      <c r="L113" s="844" t="str">
        <f>Translations!$B$1635</f>
        <v>Namibia Dollar</v>
      </c>
      <c r="M113" s="844"/>
      <c r="N113" s="844"/>
      <c r="W113" s="104"/>
    </row>
    <row r="114" spans="4:23" ht="12.75" customHeight="1" x14ac:dyDescent="0.25">
      <c r="D114" s="420"/>
      <c r="E114" s="860">
        <v>104</v>
      </c>
      <c r="F114" s="862" t="s">
        <v>246</v>
      </c>
      <c r="G114" s="844" t="s">
        <v>247</v>
      </c>
      <c r="H114" s="844"/>
      <c r="I114" s="844"/>
      <c r="J114" s="860">
        <v>104</v>
      </c>
      <c r="K114" s="862" t="s">
        <v>248</v>
      </c>
      <c r="L114" s="844" t="str">
        <f>Translations!$B$1637</f>
        <v>Naira</v>
      </c>
      <c r="M114" s="844"/>
      <c r="N114" s="844"/>
      <c r="W114" s="104"/>
    </row>
    <row r="115" spans="4:23" ht="12.75" customHeight="1" x14ac:dyDescent="0.25">
      <c r="D115" s="420"/>
      <c r="E115" s="860">
        <v>105</v>
      </c>
      <c r="F115" s="862" t="s">
        <v>249</v>
      </c>
      <c r="G115" s="844" t="str">
        <f>Translations!$B$1639</f>
        <v>Israel</v>
      </c>
      <c r="H115" s="844"/>
      <c r="I115" s="844"/>
      <c r="J115" s="860">
        <v>105</v>
      </c>
      <c r="K115" s="862" t="s">
        <v>250</v>
      </c>
      <c r="L115" s="844" t="str">
        <f>Translations!$B$1638</f>
        <v>Cordoba Oro</v>
      </c>
      <c r="M115" s="844"/>
      <c r="N115" s="844"/>
      <c r="W115" s="104"/>
    </row>
    <row r="116" spans="4:23" ht="12.75" customHeight="1" x14ac:dyDescent="0.25">
      <c r="D116" s="420"/>
      <c r="E116" s="860">
        <v>106</v>
      </c>
      <c r="F116" s="862" t="s">
        <v>251</v>
      </c>
      <c r="G116" s="844" t="str">
        <f>Translations!$B$1641</f>
        <v>Isle of Man</v>
      </c>
      <c r="H116" s="844"/>
      <c r="I116" s="844"/>
      <c r="J116" s="860">
        <v>106</v>
      </c>
      <c r="K116" s="862" t="s">
        <v>252</v>
      </c>
      <c r="L116" s="844" t="str">
        <f>Translations!$B$1640</f>
        <v>Norwegian Krone</v>
      </c>
      <c r="M116" s="844"/>
      <c r="N116" s="844"/>
      <c r="W116" s="104"/>
    </row>
    <row r="117" spans="4:23" ht="12.75" customHeight="1" x14ac:dyDescent="0.25">
      <c r="D117" s="420"/>
      <c r="E117" s="860">
        <v>107</v>
      </c>
      <c r="F117" s="862" t="s">
        <v>253</v>
      </c>
      <c r="G117" s="844" t="str">
        <f>Translations!$B$1643</f>
        <v>India</v>
      </c>
      <c r="H117" s="844"/>
      <c r="I117" s="844"/>
      <c r="J117" s="860">
        <v>107</v>
      </c>
      <c r="K117" s="862" t="s">
        <v>254</v>
      </c>
      <c r="L117" s="844" t="str">
        <f>Translations!$B$1642</f>
        <v>Nepalese Rupee</v>
      </c>
      <c r="M117" s="844"/>
      <c r="N117" s="844"/>
      <c r="W117" s="104"/>
    </row>
    <row r="118" spans="4:23" ht="12.75" customHeight="1" x14ac:dyDescent="0.25">
      <c r="D118" s="420"/>
      <c r="E118" s="860">
        <v>108</v>
      </c>
      <c r="F118" s="862" t="s">
        <v>255</v>
      </c>
      <c r="G118" s="844" t="str">
        <f>Translations!$B$1645</f>
        <v>British Indian Ocean Territory</v>
      </c>
      <c r="H118" s="844"/>
      <c r="I118" s="844"/>
      <c r="J118" s="860">
        <v>108</v>
      </c>
      <c r="K118" s="862" t="s">
        <v>256</v>
      </c>
      <c r="L118" s="844" t="str">
        <f>Translations!$B$1644</f>
        <v>New Zealand Dollar</v>
      </c>
      <c r="M118" s="844"/>
      <c r="N118" s="844"/>
      <c r="W118" s="104"/>
    </row>
    <row r="119" spans="4:23" ht="12.75" customHeight="1" x14ac:dyDescent="0.25">
      <c r="D119" s="420"/>
      <c r="E119" s="860">
        <v>109</v>
      </c>
      <c r="F119" s="862" t="s">
        <v>257</v>
      </c>
      <c r="G119" s="844" t="str">
        <f>Translations!$B$1647</f>
        <v>Iraq</v>
      </c>
      <c r="H119" s="844"/>
      <c r="I119" s="844"/>
      <c r="J119" s="860">
        <v>109</v>
      </c>
      <c r="K119" s="862" t="s">
        <v>258</v>
      </c>
      <c r="L119" s="844" t="str">
        <f>Translations!$B$1646</f>
        <v>Rial Omani</v>
      </c>
      <c r="M119" s="844"/>
      <c r="N119" s="844"/>
      <c r="W119" s="104"/>
    </row>
    <row r="120" spans="4:23" ht="12.75" customHeight="1" x14ac:dyDescent="0.25">
      <c r="D120" s="420"/>
      <c r="E120" s="860">
        <v>110</v>
      </c>
      <c r="F120" s="862" t="s">
        <v>259</v>
      </c>
      <c r="G120" s="844" t="str">
        <f>Translations!$B$1649</f>
        <v>Iran, Islamic Republic of</v>
      </c>
      <c r="H120" s="844"/>
      <c r="I120" s="844"/>
      <c r="J120" s="860">
        <v>110</v>
      </c>
      <c r="K120" s="862" t="s">
        <v>260</v>
      </c>
      <c r="L120" s="844" t="str">
        <f>Translations!$B$1648</f>
        <v>Balboa</v>
      </c>
      <c r="M120" s="844"/>
      <c r="N120" s="844"/>
      <c r="W120" s="104"/>
    </row>
    <row r="121" spans="4:23" ht="12.75" customHeight="1" x14ac:dyDescent="0.25">
      <c r="D121" s="420"/>
      <c r="E121" s="860">
        <v>111</v>
      </c>
      <c r="F121" s="862" t="s">
        <v>261</v>
      </c>
      <c r="G121" s="844" t="s">
        <v>262</v>
      </c>
      <c r="H121" s="844"/>
      <c r="I121" s="844"/>
      <c r="J121" s="860">
        <v>111</v>
      </c>
      <c r="K121" s="862" t="s">
        <v>263</v>
      </c>
      <c r="L121" s="844" t="str">
        <f>Translations!$B$1650</f>
        <v>Sol</v>
      </c>
      <c r="M121" s="844"/>
      <c r="N121" s="844"/>
      <c r="W121" s="104"/>
    </row>
    <row r="122" spans="4:23" ht="12.75" customHeight="1" x14ac:dyDescent="0.25">
      <c r="D122" s="420"/>
      <c r="E122" s="860">
        <v>112</v>
      </c>
      <c r="F122" s="862" t="s">
        <v>264</v>
      </c>
      <c r="G122" s="844" t="s">
        <v>265</v>
      </c>
      <c r="H122" s="844"/>
      <c r="I122" s="844"/>
      <c r="J122" s="860">
        <v>112</v>
      </c>
      <c r="K122" s="862" t="s">
        <v>266</v>
      </c>
      <c r="L122" s="844" t="str">
        <f>Translations!$B$1651</f>
        <v>Kina</v>
      </c>
      <c r="M122" s="844"/>
      <c r="N122" s="844"/>
      <c r="W122" s="104"/>
    </row>
    <row r="123" spans="4:23" ht="12.75" customHeight="1" x14ac:dyDescent="0.25">
      <c r="D123" s="420"/>
      <c r="E123" s="860">
        <v>113</v>
      </c>
      <c r="F123" s="862" t="s">
        <v>267</v>
      </c>
      <c r="G123" s="844" t="str">
        <f>Translations!$B$1653</f>
        <v>Jersey</v>
      </c>
      <c r="H123" s="844"/>
      <c r="I123" s="844"/>
      <c r="J123" s="860">
        <v>113</v>
      </c>
      <c r="K123" s="862" t="s">
        <v>268</v>
      </c>
      <c r="L123" s="844" t="str">
        <f>Translations!$B$1652</f>
        <v>Philippine Peso</v>
      </c>
      <c r="M123" s="844"/>
      <c r="N123" s="844"/>
      <c r="W123" s="104"/>
    </row>
    <row r="124" spans="4:23" ht="12.75" customHeight="1" x14ac:dyDescent="0.25">
      <c r="D124" s="420"/>
      <c r="E124" s="860">
        <v>114</v>
      </c>
      <c r="F124" s="862" t="s">
        <v>269</v>
      </c>
      <c r="G124" s="844" t="str">
        <f>Translations!$B$1655</f>
        <v>Jamaica</v>
      </c>
      <c r="H124" s="844"/>
      <c r="I124" s="844"/>
      <c r="J124" s="860">
        <v>114</v>
      </c>
      <c r="K124" s="862" t="s">
        <v>270</v>
      </c>
      <c r="L124" s="844" t="str">
        <f>Translations!$B$1654</f>
        <v>Pakistan Rupee</v>
      </c>
      <c r="M124" s="844"/>
      <c r="N124" s="844"/>
      <c r="W124" s="104"/>
    </row>
    <row r="125" spans="4:23" ht="12.75" customHeight="1" x14ac:dyDescent="0.25">
      <c r="D125" s="420"/>
      <c r="E125" s="860">
        <v>115</v>
      </c>
      <c r="F125" s="862" t="s">
        <v>271</v>
      </c>
      <c r="G125" s="844" t="str">
        <f>Translations!$B$1657</f>
        <v>Jordan</v>
      </c>
      <c r="H125" s="844"/>
      <c r="I125" s="844"/>
      <c r="J125" s="860">
        <v>115</v>
      </c>
      <c r="K125" s="862" t="s">
        <v>272</v>
      </c>
      <c r="L125" s="844" t="str">
        <f>Translations!$B$1656</f>
        <v>Zloty</v>
      </c>
      <c r="M125" s="844"/>
      <c r="N125" s="844"/>
      <c r="W125" s="104"/>
    </row>
    <row r="126" spans="4:23" ht="12.75" customHeight="1" x14ac:dyDescent="0.25">
      <c r="D126" s="420"/>
      <c r="E126" s="860">
        <v>116</v>
      </c>
      <c r="F126" s="862" t="s">
        <v>273</v>
      </c>
      <c r="G126" s="844" t="str">
        <f>Translations!$B$1659</f>
        <v>Japan</v>
      </c>
      <c r="H126" s="844"/>
      <c r="I126" s="844"/>
      <c r="J126" s="860">
        <v>116</v>
      </c>
      <c r="K126" s="862" t="s">
        <v>274</v>
      </c>
      <c r="L126" s="844" t="str">
        <f>Translations!$B$1658</f>
        <v>Guarani</v>
      </c>
      <c r="M126" s="844"/>
      <c r="N126" s="844"/>
      <c r="W126" s="104"/>
    </row>
    <row r="127" spans="4:23" ht="12.75" customHeight="1" x14ac:dyDescent="0.25">
      <c r="D127" s="420"/>
      <c r="E127" s="860">
        <v>117</v>
      </c>
      <c r="F127" s="862" t="s">
        <v>275</v>
      </c>
      <c r="G127" s="844" t="str">
        <f>Translations!$B$1661</f>
        <v>Kenya</v>
      </c>
      <c r="H127" s="844"/>
      <c r="I127" s="844"/>
      <c r="J127" s="860">
        <v>117</v>
      </c>
      <c r="K127" s="862" t="s">
        <v>276</v>
      </c>
      <c r="L127" s="844" t="str">
        <f>Translations!$B$1660</f>
        <v>Qatari Rial</v>
      </c>
      <c r="M127" s="844"/>
      <c r="N127" s="844"/>
      <c r="W127" s="104"/>
    </row>
    <row r="128" spans="4:23" ht="12.75" customHeight="1" x14ac:dyDescent="0.25">
      <c r="D128" s="420"/>
      <c r="E128" s="860">
        <v>118</v>
      </c>
      <c r="F128" s="862" t="s">
        <v>277</v>
      </c>
      <c r="G128" s="844" t="str">
        <f>Translations!$B$1663</f>
        <v>Kyrgyz, Republic</v>
      </c>
      <c r="H128" s="844"/>
      <c r="I128" s="844"/>
      <c r="J128" s="860">
        <v>118</v>
      </c>
      <c r="K128" s="862" t="s">
        <v>278</v>
      </c>
      <c r="L128" s="844" t="str">
        <f>Translations!$B$1662</f>
        <v>Romanian Leu</v>
      </c>
      <c r="M128" s="844"/>
      <c r="N128" s="844"/>
      <c r="W128" s="104"/>
    </row>
    <row r="129" spans="4:23" ht="12.75" customHeight="1" x14ac:dyDescent="0.25">
      <c r="D129" s="420"/>
      <c r="E129" s="860">
        <v>119</v>
      </c>
      <c r="F129" s="862" t="s">
        <v>279</v>
      </c>
      <c r="G129" s="844" t="str">
        <f>Translations!$B$1665</f>
        <v>Cambodia</v>
      </c>
      <c r="H129" s="844"/>
      <c r="I129" s="844"/>
      <c r="J129" s="860">
        <v>119</v>
      </c>
      <c r="K129" s="862" t="s">
        <v>280</v>
      </c>
      <c r="L129" s="844" t="str">
        <f>Translations!$B$1664</f>
        <v>Serbian Dinar</v>
      </c>
      <c r="M129" s="844"/>
      <c r="N129" s="844"/>
      <c r="W129" s="104"/>
    </row>
    <row r="130" spans="4:23" ht="12.75" customHeight="1" x14ac:dyDescent="0.25">
      <c r="D130" s="420"/>
      <c r="E130" s="860">
        <v>120</v>
      </c>
      <c r="F130" s="862" t="s">
        <v>281</v>
      </c>
      <c r="G130" s="844" t="str">
        <f>Translations!$B$1667</f>
        <v>Kiribati</v>
      </c>
      <c r="H130" s="844"/>
      <c r="I130" s="844"/>
      <c r="J130" s="860">
        <v>120</v>
      </c>
      <c r="K130" s="862" t="s">
        <v>282</v>
      </c>
      <c r="L130" s="844" t="str">
        <f>Translations!$B$1666</f>
        <v>Russian Ruble</v>
      </c>
      <c r="M130" s="844"/>
      <c r="N130" s="844"/>
      <c r="W130" s="104"/>
    </row>
    <row r="131" spans="4:23" ht="12.75" customHeight="1" x14ac:dyDescent="0.25">
      <c r="D131" s="420"/>
      <c r="E131" s="860">
        <v>121</v>
      </c>
      <c r="F131" s="862" t="s">
        <v>283</v>
      </c>
      <c r="G131" s="844" t="str">
        <f>Translations!$B$1669</f>
        <v>Comoros</v>
      </c>
      <c r="H131" s="844"/>
      <c r="I131" s="844"/>
      <c r="J131" s="860">
        <v>121</v>
      </c>
      <c r="K131" s="862" t="s">
        <v>284</v>
      </c>
      <c r="L131" s="844" t="str">
        <f>Translations!$B$1668</f>
        <v>Rwanda Franc</v>
      </c>
      <c r="M131" s="844"/>
      <c r="N131" s="844"/>
      <c r="W131" s="104"/>
    </row>
    <row r="132" spans="4:23" ht="12.75" customHeight="1" x14ac:dyDescent="0.25">
      <c r="D132" s="420"/>
      <c r="E132" s="860">
        <v>122</v>
      </c>
      <c r="F132" s="862" t="s">
        <v>285</v>
      </c>
      <c r="G132" s="844" t="str">
        <f>Translations!$B$1671</f>
        <v>St Kitts and Nevis</v>
      </c>
      <c r="H132" s="844"/>
      <c r="I132" s="844"/>
      <c r="J132" s="860">
        <v>122</v>
      </c>
      <c r="K132" s="862" t="s">
        <v>286</v>
      </c>
      <c r="L132" s="844" t="str">
        <f>Translations!$B$1670</f>
        <v>Saudi Riyal</v>
      </c>
      <c r="M132" s="844"/>
      <c r="N132" s="844"/>
      <c r="W132" s="104"/>
    </row>
    <row r="133" spans="4:23" ht="12.75" customHeight="1" x14ac:dyDescent="0.25">
      <c r="D133" s="420"/>
      <c r="E133" s="860">
        <v>123</v>
      </c>
      <c r="F133" s="862" t="s">
        <v>287</v>
      </c>
      <c r="G133" s="844" t="str">
        <f>Translations!$B$1673</f>
        <v>Korea, Democratic People’s Republ</v>
      </c>
      <c r="H133" s="844"/>
      <c r="I133" s="844"/>
      <c r="J133" s="860">
        <v>123</v>
      </c>
      <c r="K133" s="862" t="s">
        <v>288</v>
      </c>
      <c r="L133" s="844" t="str">
        <f>Translations!$B$1672</f>
        <v>Solomon Islands Dollar</v>
      </c>
      <c r="M133" s="844"/>
      <c r="N133" s="844"/>
      <c r="W133" s="104"/>
    </row>
    <row r="134" spans="4:23" ht="12.75" customHeight="1" x14ac:dyDescent="0.25">
      <c r="D134" s="420"/>
      <c r="E134" s="860">
        <v>124</v>
      </c>
      <c r="F134" s="862" t="s">
        <v>289</v>
      </c>
      <c r="G134" s="844" t="str">
        <f>Translations!$B$1675</f>
        <v>Korea, Republic of</v>
      </c>
      <c r="H134" s="844"/>
      <c r="I134" s="844"/>
      <c r="J134" s="860">
        <v>124</v>
      </c>
      <c r="K134" s="862" t="s">
        <v>290</v>
      </c>
      <c r="L134" s="844" t="str">
        <f>Translations!$B$1674</f>
        <v>Seychelles Rupee</v>
      </c>
      <c r="M134" s="844"/>
      <c r="N134" s="844"/>
      <c r="W134" s="104"/>
    </row>
    <row r="135" spans="4:23" ht="12.75" customHeight="1" x14ac:dyDescent="0.25">
      <c r="D135" s="420"/>
      <c r="E135" s="860">
        <v>125</v>
      </c>
      <c r="F135" s="862" t="s">
        <v>291</v>
      </c>
      <c r="G135" s="844" t="str">
        <f>Translations!$B$1677</f>
        <v>Kuwait</v>
      </c>
      <c r="H135" s="844"/>
      <c r="I135" s="844"/>
      <c r="J135" s="860">
        <v>125</v>
      </c>
      <c r="K135" s="862" t="s">
        <v>292</v>
      </c>
      <c r="L135" s="844" t="str">
        <f>Translations!$B$1676</f>
        <v>Sudanese Pound</v>
      </c>
      <c r="M135" s="844"/>
      <c r="N135" s="844"/>
      <c r="W135" s="104"/>
    </row>
    <row r="136" spans="4:23" ht="12.75" customHeight="1" x14ac:dyDescent="0.25">
      <c r="D136" s="420"/>
      <c r="E136" s="860">
        <v>126</v>
      </c>
      <c r="F136" s="862" t="s">
        <v>293</v>
      </c>
      <c r="G136" s="844" t="str">
        <f>Translations!$B$1679</f>
        <v>Cayman Islands</v>
      </c>
      <c r="H136" s="844"/>
      <c r="I136" s="844"/>
      <c r="J136" s="860">
        <v>126</v>
      </c>
      <c r="K136" s="862" t="s">
        <v>294</v>
      </c>
      <c r="L136" s="844" t="str">
        <f>Translations!$B$1678</f>
        <v>Swedish Krona</v>
      </c>
      <c r="M136" s="844"/>
      <c r="N136" s="844"/>
      <c r="W136" s="104"/>
    </row>
    <row r="137" spans="4:23" ht="12.75" customHeight="1" x14ac:dyDescent="0.25">
      <c r="D137" s="420"/>
      <c r="E137" s="860">
        <v>127</v>
      </c>
      <c r="F137" s="862" t="s">
        <v>295</v>
      </c>
      <c r="G137" s="844" t="str">
        <f>Translations!$B$1681</f>
        <v>Kazakhstan</v>
      </c>
      <c r="H137" s="844"/>
      <c r="I137" s="844"/>
      <c r="J137" s="860">
        <v>127</v>
      </c>
      <c r="K137" s="862" t="s">
        <v>296</v>
      </c>
      <c r="L137" s="844" t="str">
        <f>Translations!$B$1680</f>
        <v>Singapore Dollar</v>
      </c>
      <c r="M137" s="844"/>
      <c r="N137" s="844"/>
      <c r="W137" s="104"/>
    </row>
    <row r="138" spans="4:23" ht="12.75" customHeight="1" x14ac:dyDescent="0.25">
      <c r="D138" s="420"/>
      <c r="E138" s="860">
        <v>128</v>
      </c>
      <c r="F138" s="862" t="s">
        <v>297</v>
      </c>
      <c r="G138" s="844" t="str">
        <f>Translations!$B$1683</f>
        <v>Lao People’s Democratic Republic</v>
      </c>
      <c r="H138" s="844"/>
      <c r="I138" s="844"/>
      <c r="J138" s="860">
        <v>128</v>
      </c>
      <c r="K138" s="862" t="s">
        <v>298</v>
      </c>
      <c r="L138" s="844" t="str">
        <f>Translations!$B$1682</f>
        <v>Saint Helena Pound</v>
      </c>
      <c r="M138" s="844"/>
      <c r="N138" s="844"/>
      <c r="W138" s="104"/>
    </row>
    <row r="139" spans="4:23" ht="12.75" customHeight="1" x14ac:dyDescent="0.25">
      <c r="D139" s="420"/>
      <c r="E139" s="860">
        <v>129</v>
      </c>
      <c r="F139" s="862" t="s">
        <v>299</v>
      </c>
      <c r="G139" s="844" t="str">
        <f>Translations!$B$1685</f>
        <v>Lebanon</v>
      </c>
      <c r="H139" s="844"/>
      <c r="I139" s="844"/>
      <c r="J139" s="860">
        <v>129</v>
      </c>
      <c r="K139" s="862" t="s">
        <v>300</v>
      </c>
      <c r="L139" s="844" t="str">
        <f>Translations!$B$1684</f>
        <v>Leone</v>
      </c>
      <c r="M139" s="844"/>
      <c r="N139" s="844"/>
      <c r="W139" s="104"/>
    </row>
    <row r="140" spans="4:23" ht="12.75" customHeight="1" x14ac:dyDescent="0.25">
      <c r="D140" s="420"/>
      <c r="E140" s="860">
        <v>130</v>
      </c>
      <c r="F140" s="862" t="s">
        <v>301</v>
      </c>
      <c r="G140" s="844" t="str">
        <f>Translations!$B$1686</f>
        <v>St Lucia</v>
      </c>
      <c r="H140" s="844"/>
      <c r="I140" s="844"/>
      <c r="J140" s="860">
        <v>130</v>
      </c>
      <c r="K140" s="862" t="s">
        <v>302</v>
      </c>
      <c r="L140" s="844" t="str">
        <f>Translations!$B$1684</f>
        <v>Leone</v>
      </c>
      <c r="M140" s="844"/>
      <c r="N140" s="844"/>
      <c r="W140" s="104"/>
    </row>
    <row r="141" spans="4:23" ht="12.75" customHeight="1" x14ac:dyDescent="0.25">
      <c r="D141" s="420"/>
      <c r="E141" s="860">
        <v>131</v>
      </c>
      <c r="F141" s="862" t="s">
        <v>303</v>
      </c>
      <c r="G141" s="844" t="s">
        <v>304</v>
      </c>
      <c r="H141" s="844"/>
      <c r="I141" s="844"/>
      <c r="J141" s="860">
        <v>131</v>
      </c>
      <c r="K141" s="862" t="s">
        <v>305</v>
      </c>
      <c r="L141" s="844" t="str">
        <f>Translations!$B$1687</f>
        <v>Somali Shilling</v>
      </c>
      <c r="M141" s="844"/>
      <c r="N141" s="844"/>
      <c r="W141" s="104"/>
    </row>
    <row r="142" spans="4:23" ht="12.75" customHeight="1" x14ac:dyDescent="0.25">
      <c r="D142" s="420"/>
      <c r="E142" s="860">
        <v>132</v>
      </c>
      <c r="F142" s="862" t="s">
        <v>306</v>
      </c>
      <c r="G142" s="844" t="str">
        <f>Translations!$B$1689</f>
        <v>Sri Lanka</v>
      </c>
      <c r="H142" s="844"/>
      <c r="I142" s="844"/>
      <c r="J142" s="860">
        <v>132</v>
      </c>
      <c r="K142" s="862" t="s">
        <v>307</v>
      </c>
      <c r="L142" s="844" t="str">
        <f>Translations!$B$1688</f>
        <v>Surinam Dollar</v>
      </c>
      <c r="M142" s="844"/>
      <c r="N142" s="844"/>
      <c r="W142" s="104"/>
    </row>
    <row r="143" spans="4:23" ht="12.75" customHeight="1" x14ac:dyDescent="0.25">
      <c r="D143" s="420"/>
      <c r="E143" s="860">
        <v>133</v>
      </c>
      <c r="F143" s="862" t="s">
        <v>308</v>
      </c>
      <c r="G143" s="844" t="str">
        <f>Translations!$B$1691</f>
        <v>Liberia</v>
      </c>
      <c r="H143" s="844"/>
      <c r="I143" s="844"/>
      <c r="J143" s="860">
        <v>133</v>
      </c>
      <c r="K143" s="862" t="s">
        <v>309</v>
      </c>
      <c r="L143" s="844" t="str">
        <f>Translations!$B$1690</f>
        <v>South Sudanese Pound</v>
      </c>
      <c r="M143" s="844"/>
      <c r="N143" s="844"/>
      <c r="W143" s="104"/>
    </row>
    <row r="144" spans="4:23" ht="12.75" customHeight="1" x14ac:dyDescent="0.25">
      <c r="D144" s="420"/>
      <c r="E144" s="860">
        <v>134</v>
      </c>
      <c r="F144" s="862" t="s">
        <v>310</v>
      </c>
      <c r="G144" s="844" t="str">
        <f>Translations!$B$1693</f>
        <v>Lesotho</v>
      </c>
      <c r="H144" s="844"/>
      <c r="I144" s="844"/>
      <c r="J144" s="860">
        <v>134</v>
      </c>
      <c r="K144" s="862" t="s">
        <v>311</v>
      </c>
      <c r="L144" s="844" t="str">
        <f>Translations!$B$1692</f>
        <v>Dobra</v>
      </c>
      <c r="M144" s="844"/>
      <c r="N144" s="844"/>
      <c r="W144" s="104"/>
    </row>
    <row r="145" spans="4:23" ht="12.75" customHeight="1" x14ac:dyDescent="0.25">
      <c r="D145" s="420"/>
      <c r="E145" s="860">
        <v>135</v>
      </c>
      <c r="F145" s="862" t="s">
        <v>312</v>
      </c>
      <c r="G145" s="844" t="s">
        <v>313</v>
      </c>
      <c r="H145" s="844"/>
      <c r="I145" s="844"/>
      <c r="J145" s="860">
        <v>135</v>
      </c>
      <c r="K145" s="862" t="s">
        <v>314</v>
      </c>
      <c r="L145" s="844" t="str">
        <f>Translations!$B$1694</f>
        <v>El Salvador Colon</v>
      </c>
      <c r="M145" s="844"/>
      <c r="N145" s="844"/>
      <c r="W145" s="104"/>
    </row>
    <row r="146" spans="4:23" ht="12.75" customHeight="1" x14ac:dyDescent="0.25">
      <c r="D146" s="420"/>
      <c r="E146" s="860">
        <v>136</v>
      </c>
      <c r="F146" s="862" t="s">
        <v>315</v>
      </c>
      <c r="G146" s="844" t="s">
        <v>316</v>
      </c>
      <c r="H146" s="844"/>
      <c r="I146" s="844"/>
      <c r="J146" s="860">
        <v>136</v>
      </c>
      <c r="K146" s="862" t="s">
        <v>317</v>
      </c>
      <c r="L146" s="844" t="str">
        <f>Translations!$B$1695</f>
        <v>Syrian Pound</v>
      </c>
      <c r="M146" s="844"/>
      <c r="N146" s="844"/>
      <c r="W146" s="104"/>
    </row>
    <row r="147" spans="4:23" ht="12.75" customHeight="1" x14ac:dyDescent="0.25">
      <c r="D147" s="420"/>
      <c r="E147" s="860">
        <v>137</v>
      </c>
      <c r="F147" s="862" t="s">
        <v>318</v>
      </c>
      <c r="G147" s="844" t="s">
        <v>319</v>
      </c>
      <c r="H147" s="844"/>
      <c r="I147" s="844"/>
      <c r="J147" s="860">
        <v>137</v>
      </c>
      <c r="K147" s="862" t="s">
        <v>320</v>
      </c>
      <c r="L147" s="844" t="str">
        <f>Translations!$B$1696</f>
        <v>Lilangeni</v>
      </c>
      <c r="M147" s="844"/>
      <c r="N147" s="844"/>
      <c r="W147" s="104"/>
    </row>
    <row r="148" spans="4:23" ht="12.75" customHeight="1" x14ac:dyDescent="0.25">
      <c r="D148" s="420"/>
      <c r="E148" s="860">
        <v>138</v>
      </c>
      <c r="F148" s="862" t="s">
        <v>321</v>
      </c>
      <c r="G148" s="844" t="str">
        <f>Translations!$B$1698</f>
        <v>Libya</v>
      </c>
      <c r="H148" s="844"/>
      <c r="I148" s="844"/>
      <c r="J148" s="860">
        <v>138</v>
      </c>
      <c r="K148" s="862" t="s">
        <v>322</v>
      </c>
      <c r="L148" s="844" t="str">
        <f>Translations!$B$1697</f>
        <v>Baht</v>
      </c>
      <c r="M148" s="844"/>
      <c r="N148" s="844"/>
      <c r="W148" s="104"/>
    </row>
    <row r="149" spans="4:23" ht="12.75" customHeight="1" x14ac:dyDescent="0.25">
      <c r="D149" s="420"/>
      <c r="E149" s="860">
        <v>139</v>
      </c>
      <c r="F149" s="862" t="s">
        <v>323</v>
      </c>
      <c r="G149" s="844" t="str">
        <f>Translations!$B$1700</f>
        <v>Morocco</v>
      </c>
      <c r="H149" s="844"/>
      <c r="I149" s="844"/>
      <c r="J149" s="860">
        <v>139</v>
      </c>
      <c r="K149" s="862" t="s">
        <v>324</v>
      </c>
      <c r="L149" s="844" t="str">
        <f>Translations!$B$1699</f>
        <v>Somoni</v>
      </c>
      <c r="M149" s="844"/>
      <c r="N149" s="844"/>
      <c r="W149" s="104"/>
    </row>
    <row r="150" spans="4:23" ht="12.75" customHeight="1" x14ac:dyDescent="0.25">
      <c r="D150" s="420"/>
      <c r="E150" s="860">
        <v>140</v>
      </c>
      <c r="F150" s="862" t="s">
        <v>325</v>
      </c>
      <c r="G150" s="844" t="str">
        <f>Translations!$B$1702</f>
        <v>Monaco</v>
      </c>
      <c r="H150" s="844"/>
      <c r="I150" s="844"/>
      <c r="J150" s="860">
        <v>140</v>
      </c>
      <c r="K150" s="862" t="s">
        <v>326</v>
      </c>
      <c r="L150" s="844" t="str">
        <f>Translations!$B$1701</f>
        <v>Turkmenistan New Manat</v>
      </c>
      <c r="M150" s="844"/>
      <c r="N150" s="844"/>
      <c r="W150" s="104"/>
    </row>
    <row r="151" spans="4:23" ht="12.75" customHeight="1" x14ac:dyDescent="0.25">
      <c r="D151" s="420"/>
      <c r="E151" s="860">
        <v>141</v>
      </c>
      <c r="F151" s="862" t="s">
        <v>327</v>
      </c>
      <c r="G151" s="844" t="str">
        <f>Translations!$B$1704</f>
        <v>Moldova, Republic of</v>
      </c>
      <c r="H151" s="844"/>
      <c r="I151" s="844"/>
      <c r="J151" s="860">
        <v>141</v>
      </c>
      <c r="K151" s="862" t="s">
        <v>328</v>
      </c>
      <c r="L151" s="844" t="str">
        <f>Translations!$B$1703</f>
        <v>Tunisian Dinar</v>
      </c>
      <c r="M151" s="844"/>
      <c r="N151" s="844"/>
      <c r="W151" s="104"/>
    </row>
    <row r="152" spans="4:23" ht="12.75" customHeight="1" x14ac:dyDescent="0.25">
      <c r="D152" s="420"/>
      <c r="E152" s="860">
        <v>142</v>
      </c>
      <c r="F152" s="862" t="s">
        <v>329</v>
      </c>
      <c r="G152" s="844" t="str">
        <f>Translations!$B$1706</f>
        <v>Montenegro</v>
      </c>
      <c r="H152" s="844"/>
      <c r="I152" s="844"/>
      <c r="J152" s="860">
        <v>142</v>
      </c>
      <c r="K152" s="862" t="s">
        <v>330</v>
      </c>
      <c r="L152" s="844" t="str">
        <f>Translations!$B$1705</f>
        <v>Pa’anga</v>
      </c>
      <c r="M152" s="844"/>
      <c r="N152" s="844"/>
      <c r="W152" s="104"/>
    </row>
    <row r="153" spans="4:23" ht="12.75" customHeight="1" x14ac:dyDescent="0.25">
      <c r="D153" s="420"/>
      <c r="E153" s="860">
        <v>143</v>
      </c>
      <c r="F153" s="862" t="s">
        <v>331</v>
      </c>
      <c r="G153" s="844" t="str">
        <f>Translations!$B$1708</f>
        <v>Saint Martin (French part)</v>
      </c>
      <c r="H153" s="844"/>
      <c r="I153" s="844"/>
      <c r="J153" s="860">
        <v>143</v>
      </c>
      <c r="K153" s="862" t="s">
        <v>332</v>
      </c>
      <c r="L153" s="844" t="str">
        <f>Translations!$B$1707</f>
        <v>Turkish Lira</v>
      </c>
      <c r="M153" s="844"/>
      <c r="N153" s="844"/>
      <c r="W153" s="104"/>
    </row>
    <row r="154" spans="4:23" ht="12.75" customHeight="1" x14ac:dyDescent="0.25">
      <c r="D154" s="420"/>
      <c r="E154" s="860">
        <v>144</v>
      </c>
      <c r="F154" s="862" t="s">
        <v>333</v>
      </c>
      <c r="G154" s="844" t="str">
        <f>Translations!$B$1710</f>
        <v>Madagascar</v>
      </c>
      <c r="H154" s="844"/>
      <c r="I154" s="844"/>
      <c r="J154" s="860">
        <v>144</v>
      </c>
      <c r="K154" s="862" t="s">
        <v>334</v>
      </c>
      <c r="L154" s="844" t="str">
        <f>Translations!$B$1709</f>
        <v>Trinidad and Tobago Dollar</v>
      </c>
      <c r="M154" s="844"/>
      <c r="N154" s="844"/>
      <c r="W154" s="104"/>
    </row>
    <row r="155" spans="4:23" ht="12.75" customHeight="1" x14ac:dyDescent="0.25">
      <c r="D155" s="420"/>
      <c r="E155" s="860">
        <v>145</v>
      </c>
      <c r="F155" s="862" t="s">
        <v>335</v>
      </c>
      <c r="G155" s="844" t="str">
        <f>Translations!$B$1712</f>
        <v>Marshall Islands</v>
      </c>
      <c r="H155" s="844"/>
      <c r="I155" s="844"/>
      <c r="J155" s="860">
        <v>145</v>
      </c>
      <c r="K155" s="862" t="s">
        <v>336</v>
      </c>
      <c r="L155" s="844" t="str">
        <f>Translations!$B$1711</f>
        <v>New Taiwan Dollar</v>
      </c>
      <c r="M155" s="844"/>
      <c r="N155" s="844"/>
      <c r="W155" s="104"/>
    </row>
    <row r="156" spans="4:23" ht="12.75" customHeight="1" x14ac:dyDescent="0.25">
      <c r="D156" s="420"/>
      <c r="E156" s="860">
        <v>146</v>
      </c>
      <c r="F156" s="862" t="s">
        <v>337</v>
      </c>
      <c r="G156" s="844" t="str">
        <f>Translations!$B$1714</f>
        <v>North Macedonia</v>
      </c>
      <c r="H156" s="844"/>
      <c r="I156" s="844"/>
      <c r="J156" s="860">
        <v>146</v>
      </c>
      <c r="K156" s="862" t="s">
        <v>338</v>
      </c>
      <c r="L156" s="844" t="str">
        <f>Translations!$B$1713</f>
        <v>Tanzanian Shilling</v>
      </c>
      <c r="M156" s="844"/>
      <c r="N156" s="844"/>
      <c r="W156" s="104"/>
    </row>
    <row r="157" spans="4:23" ht="12.75" customHeight="1" x14ac:dyDescent="0.25">
      <c r="D157" s="420"/>
      <c r="E157" s="860">
        <v>147</v>
      </c>
      <c r="F157" s="862" t="s">
        <v>339</v>
      </c>
      <c r="G157" s="844" t="str">
        <f>Translations!$B$1716</f>
        <v>Mali</v>
      </c>
      <c r="H157" s="844"/>
      <c r="I157" s="844"/>
      <c r="J157" s="860">
        <v>147</v>
      </c>
      <c r="K157" s="862" t="s">
        <v>340</v>
      </c>
      <c r="L157" s="844" t="str">
        <f>Translations!$B$1715</f>
        <v>Hryvnia</v>
      </c>
      <c r="M157" s="844"/>
      <c r="N157" s="844"/>
      <c r="W157" s="104"/>
    </row>
    <row r="158" spans="4:23" ht="12.75" customHeight="1" x14ac:dyDescent="0.25">
      <c r="D158" s="420"/>
      <c r="E158" s="860">
        <v>148</v>
      </c>
      <c r="F158" s="862" t="s">
        <v>341</v>
      </c>
      <c r="G158" s="844" t="str">
        <f>Translations!$B$1718</f>
        <v>Myanmar</v>
      </c>
      <c r="H158" s="844"/>
      <c r="I158" s="844"/>
      <c r="J158" s="860">
        <v>148</v>
      </c>
      <c r="K158" s="862" t="s">
        <v>342</v>
      </c>
      <c r="L158" s="844" t="str">
        <f>Translations!$B$1717</f>
        <v>Uganda Shilling</v>
      </c>
      <c r="M158" s="844"/>
      <c r="N158" s="844"/>
      <c r="W158" s="104"/>
    </row>
    <row r="159" spans="4:23" ht="12.75" customHeight="1" x14ac:dyDescent="0.25">
      <c r="D159" s="420"/>
      <c r="E159" s="860">
        <v>149</v>
      </c>
      <c r="F159" s="862" t="s">
        <v>343</v>
      </c>
      <c r="G159" s="844" t="str">
        <f>Translations!$B$1720</f>
        <v>Mongolia</v>
      </c>
      <c r="H159" s="844"/>
      <c r="I159" s="844"/>
      <c r="J159" s="860">
        <v>149</v>
      </c>
      <c r="K159" s="862" t="s">
        <v>344</v>
      </c>
      <c r="L159" s="844" t="str">
        <f>Translations!$B$1719</f>
        <v>US Dollar</v>
      </c>
      <c r="M159" s="844"/>
      <c r="N159" s="844"/>
      <c r="W159" s="104"/>
    </row>
    <row r="160" spans="4:23" ht="12.75" customHeight="1" x14ac:dyDescent="0.25">
      <c r="D160" s="420"/>
      <c r="E160" s="860">
        <v>150</v>
      </c>
      <c r="F160" s="862" t="s">
        <v>345</v>
      </c>
      <c r="G160" s="844" t="str">
        <f>Translations!$B$1722</f>
        <v>Macao</v>
      </c>
      <c r="H160" s="844"/>
      <c r="I160" s="844"/>
      <c r="J160" s="860">
        <v>150</v>
      </c>
      <c r="K160" s="862" t="s">
        <v>346</v>
      </c>
      <c r="L160" s="844" t="str">
        <f>Translations!$B$1721</f>
        <v>Uruguay Peso en Unidades Indexadas (UI)</v>
      </c>
      <c r="M160" s="844"/>
      <c r="N160" s="844"/>
      <c r="W160" s="104"/>
    </row>
    <row r="161" spans="4:23" ht="12.75" customHeight="1" x14ac:dyDescent="0.25">
      <c r="D161" s="420"/>
      <c r="E161" s="860">
        <v>151</v>
      </c>
      <c r="F161" s="862" t="s">
        <v>347</v>
      </c>
      <c r="G161" s="844" t="str">
        <f>Translations!$B$1724</f>
        <v>Northern Mariana Islands</v>
      </c>
      <c r="H161" s="844"/>
      <c r="I161" s="844"/>
      <c r="J161" s="860">
        <v>151</v>
      </c>
      <c r="K161" s="862" t="s">
        <v>348</v>
      </c>
      <c r="L161" s="844" t="str">
        <f>Translations!$B$1723</f>
        <v>Peso Uruguayo</v>
      </c>
      <c r="M161" s="844"/>
      <c r="N161" s="844"/>
      <c r="W161" s="104"/>
    </row>
    <row r="162" spans="4:23" ht="12.75" customHeight="1" x14ac:dyDescent="0.25">
      <c r="D162" s="420"/>
      <c r="E162" s="860">
        <v>152</v>
      </c>
      <c r="F162" s="862" t="s">
        <v>349</v>
      </c>
      <c r="G162" s="844" t="str">
        <f>Translations!$B$1726</f>
        <v>Martinique</v>
      </c>
      <c r="H162" s="844"/>
      <c r="I162" s="844"/>
      <c r="J162" s="860">
        <v>152</v>
      </c>
      <c r="K162" s="862" t="s">
        <v>350</v>
      </c>
      <c r="L162" s="844" t="str">
        <f>Translations!$B$1725</f>
        <v>Unidad Previsional</v>
      </c>
      <c r="M162" s="844"/>
      <c r="N162" s="844"/>
      <c r="W162" s="104"/>
    </row>
    <row r="163" spans="4:23" ht="12.75" customHeight="1" x14ac:dyDescent="0.25">
      <c r="D163" s="420"/>
      <c r="E163" s="860">
        <v>153</v>
      </c>
      <c r="F163" s="862" t="s">
        <v>351</v>
      </c>
      <c r="G163" s="844" t="str">
        <f>Translations!$B$1728</f>
        <v>Mauritania</v>
      </c>
      <c r="H163" s="844"/>
      <c r="I163" s="844"/>
      <c r="J163" s="860">
        <v>153</v>
      </c>
      <c r="K163" s="862" t="s">
        <v>352</v>
      </c>
      <c r="L163" s="844" t="str">
        <f>Translations!$B$1727</f>
        <v>Uzbekistan Sum</v>
      </c>
      <c r="M163" s="844"/>
      <c r="N163" s="844"/>
      <c r="W163" s="104"/>
    </row>
    <row r="164" spans="4:23" ht="12.75" customHeight="1" x14ac:dyDescent="0.25">
      <c r="D164" s="420"/>
      <c r="E164" s="860">
        <v>154</v>
      </c>
      <c r="F164" s="862" t="s">
        <v>353</v>
      </c>
      <c r="G164" s="844" t="str">
        <f>Translations!$B$1730</f>
        <v>Montserrat</v>
      </c>
      <c r="H164" s="844"/>
      <c r="I164" s="844"/>
      <c r="J164" s="860">
        <v>154</v>
      </c>
      <c r="K164" s="862" t="s">
        <v>354</v>
      </c>
      <c r="L164" s="844" t="str">
        <f>Translations!$B$1729</f>
        <v>Bolívar Soberano</v>
      </c>
      <c r="M164" s="844"/>
      <c r="N164" s="844"/>
      <c r="W164" s="104"/>
    </row>
    <row r="165" spans="4:23" ht="12.75" customHeight="1" x14ac:dyDescent="0.25">
      <c r="D165" s="420"/>
      <c r="E165" s="860">
        <v>155</v>
      </c>
      <c r="F165" s="862" t="s">
        <v>355</v>
      </c>
      <c r="G165" s="844" t="s">
        <v>356</v>
      </c>
      <c r="H165" s="844"/>
      <c r="I165" s="844"/>
      <c r="J165" s="860">
        <v>155</v>
      </c>
      <c r="K165" s="862" t="s">
        <v>357</v>
      </c>
      <c r="L165" s="844" t="str">
        <f>Translations!$B$1731</f>
        <v>Bolivar Soberano</v>
      </c>
      <c r="M165" s="844"/>
      <c r="N165" s="844"/>
      <c r="W165" s="104"/>
    </row>
    <row r="166" spans="4:23" ht="12.75" customHeight="1" x14ac:dyDescent="0.25">
      <c r="D166" s="420"/>
      <c r="E166" s="860">
        <v>156</v>
      </c>
      <c r="F166" s="862" t="s">
        <v>358</v>
      </c>
      <c r="G166" s="844" t="str">
        <f>Translations!$B$1733</f>
        <v>Mauritius</v>
      </c>
      <c r="H166" s="844"/>
      <c r="I166" s="844"/>
      <c r="J166" s="860">
        <v>156</v>
      </c>
      <c r="K166" s="862" t="s">
        <v>359</v>
      </c>
      <c r="L166" s="844" t="str">
        <f>Translations!$B$1732</f>
        <v>Dong</v>
      </c>
      <c r="M166" s="844"/>
      <c r="N166" s="844"/>
      <c r="W166" s="104"/>
    </row>
    <row r="167" spans="4:23" ht="12.75" customHeight="1" x14ac:dyDescent="0.25">
      <c r="D167" s="420"/>
      <c r="E167" s="860">
        <v>157</v>
      </c>
      <c r="F167" s="862" t="s">
        <v>360</v>
      </c>
      <c r="G167" s="844" t="str">
        <f>Translations!$B$1735</f>
        <v>Maldives</v>
      </c>
      <c r="H167" s="844"/>
      <c r="I167" s="844"/>
      <c r="J167" s="860">
        <v>157</v>
      </c>
      <c r="K167" s="862" t="s">
        <v>361</v>
      </c>
      <c r="L167" s="844" t="str">
        <f>Translations!$B$1734</f>
        <v>Vatu</v>
      </c>
      <c r="M167" s="844"/>
      <c r="N167" s="844"/>
      <c r="W167" s="104"/>
    </row>
    <row r="168" spans="4:23" ht="12.75" customHeight="1" x14ac:dyDescent="0.25">
      <c r="D168" s="420"/>
      <c r="E168" s="860">
        <v>158</v>
      </c>
      <c r="F168" s="862" t="s">
        <v>362</v>
      </c>
      <c r="G168" s="844" t="str">
        <f>Translations!$B$1737</f>
        <v>Malawi</v>
      </c>
      <c r="H168" s="844"/>
      <c r="I168" s="844"/>
      <c r="J168" s="860">
        <v>158</v>
      </c>
      <c r="K168" s="862" t="s">
        <v>363</v>
      </c>
      <c r="L168" s="844" t="str">
        <f>Translations!$B$1736</f>
        <v>Tala</v>
      </c>
      <c r="M168" s="844"/>
      <c r="N168" s="844"/>
      <c r="W168" s="104"/>
    </row>
    <row r="169" spans="4:23" ht="12.75" customHeight="1" x14ac:dyDescent="0.25">
      <c r="D169" s="420"/>
      <c r="E169" s="860">
        <v>159</v>
      </c>
      <c r="F169" s="862" t="s">
        <v>364</v>
      </c>
      <c r="G169" s="844" t="str">
        <f>Translations!$B$1739</f>
        <v>Mexico</v>
      </c>
      <c r="H169" s="844"/>
      <c r="I169" s="844"/>
      <c r="J169" s="860">
        <v>159</v>
      </c>
      <c r="K169" s="862" t="s">
        <v>365</v>
      </c>
      <c r="L169" s="844" t="str">
        <f>Translations!$B$1738</f>
        <v>CFA Franc BEAC</v>
      </c>
      <c r="M169" s="844"/>
      <c r="N169" s="844"/>
      <c r="W169" s="104"/>
    </row>
    <row r="170" spans="4:23" ht="12.75" customHeight="1" x14ac:dyDescent="0.25">
      <c r="D170" s="420"/>
      <c r="E170" s="860">
        <v>160</v>
      </c>
      <c r="F170" s="862" t="s">
        <v>366</v>
      </c>
      <c r="G170" s="844" t="str">
        <f>Translations!$B$1741</f>
        <v>Malaysia</v>
      </c>
      <c r="H170" s="844"/>
      <c r="I170" s="844"/>
      <c r="J170" s="860">
        <v>160</v>
      </c>
      <c r="K170" s="862" t="s">
        <v>367</v>
      </c>
      <c r="L170" s="844" t="str">
        <f>Translations!$B$1740</f>
        <v>East Caribbean Dollar</v>
      </c>
      <c r="M170" s="844"/>
      <c r="N170" s="844"/>
      <c r="W170" s="104"/>
    </row>
    <row r="171" spans="4:23" ht="12.75" customHeight="1" x14ac:dyDescent="0.25">
      <c r="D171" s="420"/>
      <c r="E171" s="860">
        <v>161</v>
      </c>
      <c r="F171" s="862" t="s">
        <v>368</v>
      </c>
      <c r="G171" s="844" t="str">
        <f>Translations!$B$1743</f>
        <v>Mozambique</v>
      </c>
      <c r="H171" s="844"/>
      <c r="I171" s="844"/>
      <c r="J171" s="860">
        <v>161</v>
      </c>
      <c r="K171" s="862" t="s">
        <v>369</v>
      </c>
      <c r="L171" s="844" t="str">
        <f>Translations!$B$1742</f>
        <v>SDR (Special Drawing Right)</v>
      </c>
      <c r="M171" s="844"/>
      <c r="N171" s="844"/>
      <c r="W171" s="104"/>
    </row>
    <row r="172" spans="4:23" ht="12.75" customHeight="1" x14ac:dyDescent="0.25">
      <c r="D172" s="420"/>
      <c r="E172" s="860">
        <v>162</v>
      </c>
      <c r="F172" s="862" t="s">
        <v>370</v>
      </c>
      <c r="G172" s="844" t="str">
        <f>Translations!$B$1745</f>
        <v>Namibia</v>
      </c>
      <c r="H172" s="844"/>
      <c r="I172" s="844"/>
      <c r="J172" s="860">
        <v>162</v>
      </c>
      <c r="K172" s="862" t="s">
        <v>371</v>
      </c>
      <c r="L172" s="844" t="str">
        <f>Translations!$B$1744</f>
        <v>CFA Franc BCEAO</v>
      </c>
      <c r="M172" s="844"/>
      <c r="N172" s="844"/>
      <c r="W172" s="104"/>
    </row>
    <row r="173" spans="4:23" ht="12.75" customHeight="1" x14ac:dyDescent="0.25">
      <c r="D173" s="420"/>
      <c r="E173" s="860">
        <v>163</v>
      </c>
      <c r="F173" s="862" t="s">
        <v>372</v>
      </c>
      <c r="G173" s="844" t="str">
        <f>Translations!$B$1747</f>
        <v>New Caledonia</v>
      </c>
      <c r="H173" s="844"/>
      <c r="I173" s="844"/>
      <c r="J173" s="860">
        <v>163</v>
      </c>
      <c r="K173" s="862" t="s">
        <v>373</v>
      </c>
      <c r="L173" s="844" t="str">
        <f>Translations!$B$1746</f>
        <v>CFP Franc</v>
      </c>
      <c r="M173" s="844"/>
      <c r="N173" s="844"/>
      <c r="W173" s="104"/>
    </row>
    <row r="174" spans="4:23" ht="12.75" customHeight="1" x14ac:dyDescent="0.25">
      <c r="D174" s="420"/>
      <c r="E174" s="860">
        <v>164</v>
      </c>
      <c r="F174" s="862" t="s">
        <v>374</v>
      </c>
      <c r="G174" s="844" t="str">
        <f>Translations!$B$1749</f>
        <v>Niger</v>
      </c>
      <c r="H174" s="844"/>
      <c r="I174" s="844"/>
      <c r="J174" s="860">
        <v>164</v>
      </c>
      <c r="K174" s="862" t="s">
        <v>375</v>
      </c>
      <c r="L174" s="844" t="str">
        <f>Translations!$B$1748</f>
        <v>Yemeni Rial</v>
      </c>
      <c r="M174" s="844"/>
      <c r="N174" s="844"/>
      <c r="W174" s="104"/>
    </row>
    <row r="175" spans="4:23" ht="12.75" customHeight="1" x14ac:dyDescent="0.25">
      <c r="D175" s="420"/>
      <c r="E175" s="860">
        <v>165</v>
      </c>
      <c r="F175" s="862" t="s">
        <v>376</v>
      </c>
      <c r="G175" s="844" t="str">
        <f>Translations!$B$1751</f>
        <v>Norfolk Island</v>
      </c>
      <c r="H175" s="844"/>
      <c r="I175" s="844"/>
      <c r="J175" s="860">
        <v>165</v>
      </c>
      <c r="K175" s="862" t="s">
        <v>377</v>
      </c>
      <c r="L175" s="844" t="str">
        <f>Translations!$B$1750</f>
        <v>Rand</v>
      </c>
      <c r="M175" s="844"/>
      <c r="N175" s="844"/>
      <c r="W175" s="104"/>
    </row>
    <row r="176" spans="4:23" ht="12.75" customHeight="1" x14ac:dyDescent="0.25">
      <c r="D176" s="420"/>
      <c r="E176" s="860">
        <v>166</v>
      </c>
      <c r="F176" s="862" t="s">
        <v>378</v>
      </c>
      <c r="G176" s="844" t="str">
        <f>Translations!$B$1753</f>
        <v>Nigeria</v>
      </c>
      <c r="H176" s="844"/>
      <c r="I176" s="844"/>
      <c r="J176" s="860">
        <v>166</v>
      </c>
      <c r="K176" s="862" t="s">
        <v>379</v>
      </c>
      <c r="L176" s="844" t="str">
        <f>Translations!$B$1752</f>
        <v>Zambian Kwacha</v>
      </c>
      <c r="M176" s="844"/>
      <c r="N176" s="844"/>
      <c r="W176" s="104"/>
    </row>
    <row r="177" spans="4:23" ht="12.75" customHeight="1" x14ac:dyDescent="0.25">
      <c r="D177" s="420"/>
      <c r="E177" s="860">
        <v>167</v>
      </c>
      <c r="F177" s="862" t="s">
        <v>380</v>
      </c>
      <c r="G177" s="844" t="str">
        <f>Translations!$B$1755</f>
        <v>Nicaragua</v>
      </c>
      <c r="H177" s="844"/>
      <c r="I177" s="844"/>
      <c r="J177" s="860">
        <v>167</v>
      </c>
      <c r="K177" s="863" t="s">
        <v>381</v>
      </c>
      <c r="L177" s="846" t="str">
        <f>Translations!$B$1754</f>
        <v>Zimbabwe Dollar</v>
      </c>
      <c r="M177" s="846"/>
      <c r="N177" s="846"/>
      <c r="W177" s="104"/>
    </row>
    <row r="178" spans="4:23" ht="12.75" customHeight="1" x14ac:dyDescent="0.25">
      <c r="D178" s="420"/>
      <c r="E178" s="860">
        <v>168</v>
      </c>
      <c r="F178" s="862" t="s">
        <v>382</v>
      </c>
      <c r="G178" s="844" t="s">
        <v>383</v>
      </c>
      <c r="H178" s="844"/>
      <c r="I178" s="844"/>
      <c r="J178" s="420"/>
      <c r="K178" s="420"/>
      <c r="L178" s="420"/>
      <c r="M178" s="420"/>
      <c r="N178" s="420"/>
      <c r="W178" s="104"/>
    </row>
    <row r="179" spans="4:23" ht="12.75" customHeight="1" x14ac:dyDescent="0.25">
      <c r="D179" s="420"/>
      <c r="E179" s="860">
        <v>169</v>
      </c>
      <c r="F179" s="862" t="s">
        <v>384</v>
      </c>
      <c r="G179" s="844" t="s">
        <v>385</v>
      </c>
      <c r="H179" s="844"/>
      <c r="I179" s="844"/>
      <c r="J179" s="420"/>
      <c r="K179" s="420"/>
      <c r="L179" s="420"/>
      <c r="M179" s="420"/>
      <c r="N179" s="420"/>
      <c r="W179" s="104"/>
    </row>
    <row r="180" spans="4:23" ht="12.75" customHeight="1" x14ac:dyDescent="0.25">
      <c r="D180" s="420"/>
      <c r="E180" s="860">
        <v>170</v>
      </c>
      <c r="F180" s="862" t="s">
        <v>386</v>
      </c>
      <c r="G180" s="844" t="str">
        <f>Translations!$B$1756</f>
        <v>Nepal</v>
      </c>
      <c r="H180" s="844"/>
      <c r="I180" s="844"/>
      <c r="J180" s="420"/>
      <c r="K180" s="420"/>
      <c r="L180" s="420"/>
      <c r="M180" s="420"/>
      <c r="N180" s="420"/>
      <c r="W180" s="104"/>
    </row>
    <row r="181" spans="4:23" ht="12.75" customHeight="1" x14ac:dyDescent="0.25">
      <c r="D181" s="420"/>
      <c r="E181" s="860">
        <v>171</v>
      </c>
      <c r="F181" s="862" t="s">
        <v>387</v>
      </c>
      <c r="G181" s="844" t="str">
        <f>Translations!$B$1757</f>
        <v>Nauru</v>
      </c>
      <c r="H181" s="844"/>
      <c r="I181" s="844"/>
      <c r="J181" s="420"/>
      <c r="K181" s="420"/>
      <c r="L181" s="420"/>
      <c r="M181" s="420"/>
      <c r="N181" s="420"/>
      <c r="W181" s="104"/>
    </row>
    <row r="182" spans="4:23" ht="12.75" customHeight="1" x14ac:dyDescent="0.25">
      <c r="D182" s="420"/>
      <c r="E182" s="860">
        <v>172</v>
      </c>
      <c r="F182" s="862" t="s">
        <v>388</v>
      </c>
      <c r="G182" s="844" t="str">
        <f>Translations!$B$1758</f>
        <v>Niue</v>
      </c>
      <c r="H182" s="844"/>
      <c r="I182" s="844"/>
      <c r="J182" s="420"/>
      <c r="K182" s="420"/>
      <c r="L182" s="420"/>
      <c r="M182" s="420"/>
      <c r="N182" s="420"/>
      <c r="W182" s="104"/>
    </row>
    <row r="183" spans="4:23" ht="12.75" customHeight="1" x14ac:dyDescent="0.25">
      <c r="D183" s="420"/>
      <c r="E183" s="860">
        <v>173</v>
      </c>
      <c r="F183" s="862" t="s">
        <v>389</v>
      </c>
      <c r="G183" s="844" t="str">
        <f>Translations!$B$1759</f>
        <v>New Zealand</v>
      </c>
      <c r="H183" s="844"/>
      <c r="I183" s="844"/>
      <c r="J183" s="420"/>
      <c r="K183" s="420"/>
      <c r="L183" s="420"/>
      <c r="M183" s="420"/>
      <c r="N183" s="420"/>
      <c r="W183" s="104"/>
    </row>
    <row r="184" spans="4:23" ht="12.75" customHeight="1" x14ac:dyDescent="0.25">
      <c r="D184" s="420"/>
      <c r="E184" s="860">
        <v>174</v>
      </c>
      <c r="F184" s="862" t="s">
        <v>390</v>
      </c>
      <c r="G184" s="844" t="str">
        <f>Translations!$B$1760</f>
        <v>Oman</v>
      </c>
      <c r="H184" s="844"/>
      <c r="I184" s="844"/>
      <c r="J184" s="420"/>
      <c r="K184" s="420"/>
      <c r="L184" s="420"/>
      <c r="M184" s="420"/>
      <c r="N184" s="420"/>
      <c r="W184" s="104"/>
    </row>
    <row r="185" spans="4:23" ht="12.75" customHeight="1" x14ac:dyDescent="0.25">
      <c r="D185" s="420"/>
      <c r="E185" s="860">
        <v>175</v>
      </c>
      <c r="F185" s="862" t="s">
        <v>391</v>
      </c>
      <c r="G185" s="844" t="str">
        <f>Translations!$B$1761</f>
        <v>Panama</v>
      </c>
      <c r="H185" s="844"/>
      <c r="I185" s="844"/>
      <c r="J185" s="420"/>
      <c r="K185" s="420"/>
      <c r="L185" s="420"/>
      <c r="M185" s="420"/>
      <c r="N185" s="420"/>
      <c r="W185" s="104"/>
    </row>
    <row r="186" spans="4:23" ht="12.75" customHeight="1" x14ac:dyDescent="0.25">
      <c r="D186" s="420"/>
      <c r="E186" s="860">
        <v>176</v>
      </c>
      <c r="F186" s="862" t="s">
        <v>392</v>
      </c>
      <c r="G186" s="844" t="str">
        <f>Translations!$B$1762</f>
        <v>Peru</v>
      </c>
      <c r="H186" s="844"/>
      <c r="I186" s="844"/>
      <c r="J186" s="420"/>
      <c r="K186" s="420"/>
      <c r="L186" s="420"/>
      <c r="M186" s="420"/>
      <c r="N186" s="420"/>
      <c r="W186" s="104"/>
    </row>
    <row r="187" spans="4:23" ht="12.75" customHeight="1" x14ac:dyDescent="0.25">
      <c r="D187" s="420"/>
      <c r="E187" s="860">
        <v>177</v>
      </c>
      <c r="F187" s="862" t="s">
        <v>393</v>
      </c>
      <c r="G187" s="844" t="str">
        <f>Translations!$B$1763</f>
        <v>French Polynesia</v>
      </c>
      <c r="H187" s="844"/>
      <c r="I187" s="844"/>
      <c r="J187" s="420"/>
      <c r="K187" s="420"/>
      <c r="L187" s="420"/>
      <c r="M187" s="420"/>
      <c r="N187" s="420"/>
      <c r="W187" s="104"/>
    </row>
    <row r="188" spans="4:23" ht="12.75" customHeight="1" x14ac:dyDescent="0.25">
      <c r="D188" s="420"/>
      <c r="E188" s="860">
        <v>178</v>
      </c>
      <c r="F188" s="862" t="s">
        <v>394</v>
      </c>
      <c r="G188" s="844" t="str">
        <f>Translations!$B$1764</f>
        <v>Papua New Guinea</v>
      </c>
      <c r="H188" s="844"/>
      <c r="I188" s="844"/>
      <c r="J188" s="420"/>
      <c r="K188" s="420"/>
      <c r="L188" s="420"/>
      <c r="M188" s="420"/>
      <c r="N188" s="420"/>
      <c r="W188" s="104"/>
    </row>
    <row r="189" spans="4:23" ht="12.75" customHeight="1" x14ac:dyDescent="0.25">
      <c r="D189" s="420"/>
      <c r="E189" s="860">
        <v>179</v>
      </c>
      <c r="F189" s="862" t="s">
        <v>395</v>
      </c>
      <c r="G189" s="844" t="str">
        <f>Translations!$B$1765</f>
        <v>Philippines</v>
      </c>
      <c r="H189" s="844"/>
      <c r="I189" s="844"/>
      <c r="J189" s="420"/>
      <c r="K189" s="420"/>
      <c r="L189" s="420"/>
      <c r="M189" s="420"/>
      <c r="N189" s="420"/>
      <c r="W189" s="104"/>
    </row>
    <row r="190" spans="4:23" ht="12.75" customHeight="1" x14ac:dyDescent="0.25">
      <c r="D190" s="420"/>
      <c r="E190" s="860">
        <v>180</v>
      </c>
      <c r="F190" s="862" t="s">
        <v>396</v>
      </c>
      <c r="G190" s="844" t="str">
        <f>Translations!$B$1766</f>
        <v>Pakistan</v>
      </c>
      <c r="H190" s="844"/>
      <c r="I190" s="844"/>
      <c r="J190" s="420"/>
      <c r="K190" s="420"/>
      <c r="L190" s="420"/>
      <c r="M190" s="420"/>
      <c r="N190" s="420"/>
      <c r="W190" s="104"/>
    </row>
    <row r="191" spans="4:23" ht="12.75" customHeight="1" x14ac:dyDescent="0.25">
      <c r="D191" s="420"/>
      <c r="E191" s="860">
        <v>181</v>
      </c>
      <c r="F191" s="862" t="s">
        <v>397</v>
      </c>
      <c r="G191" s="844" t="s">
        <v>398</v>
      </c>
      <c r="H191" s="844"/>
      <c r="I191" s="844"/>
      <c r="J191" s="420"/>
      <c r="K191" s="420"/>
      <c r="L191" s="420"/>
      <c r="M191" s="420"/>
      <c r="N191" s="420"/>
      <c r="W191" s="104"/>
    </row>
    <row r="192" spans="4:23" ht="12.75" customHeight="1" x14ac:dyDescent="0.25">
      <c r="D192" s="420"/>
      <c r="E192" s="860">
        <v>182</v>
      </c>
      <c r="F192" s="862" t="s">
        <v>399</v>
      </c>
      <c r="G192" s="844" t="str">
        <f>Translations!$B$1767</f>
        <v>St Pierre and Miquelon</v>
      </c>
      <c r="H192" s="844"/>
      <c r="I192" s="844"/>
      <c r="J192" s="420"/>
      <c r="K192" s="420"/>
      <c r="L192" s="420"/>
      <c r="M192" s="420"/>
      <c r="N192" s="420"/>
      <c r="W192" s="104"/>
    </row>
    <row r="193" spans="4:23" ht="12.75" customHeight="1" x14ac:dyDescent="0.25">
      <c r="D193" s="420"/>
      <c r="E193" s="860">
        <v>183</v>
      </c>
      <c r="F193" s="862" t="s">
        <v>400</v>
      </c>
      <c r="G193" s="844" t="str">
        <f>Translations!$B$1768</f>
        <v>Pitcairn</v>
      </c>
      <c r="H193" s="844"/>
      <c r="I193" s="844"/>
      <c r="J193" s="420"/>
      <c r="K193" s="420"/>
      <c r="L193" s="420"/>
      <c r="M193" s="420"/>
      <c r="N193" s="420"/>
      <c r="W193" s="104"/>
    </row>
    <row r="194" spans="4:23" ht="12.75" customHeight="1" x14ac:dyDescent="0.25">
      <c r="D194" s="420"/>
      <c r="E194" s="860">
        <v>184</v>
      </c>
      <c r="F194" s="862" t="s">
        <v>401</v>
      </c>
      <c r="G194" s="844" t="str">
        <f>Translations!$B$1769</f>
        <v>Puerto Rico</v>
      </c>
      <c r="H194" s="844"/>
      <c r="I194" s="844"/>
      <c r="J194" s="420"/>
      <c r="K194" s="420"/>
      <c r="L194" s="420"/>
      <c r="M194" s="420"/>
      <c r="N194" s="420"/>
      <c r="W194" s="104"/>
    </row>
    <row r="195" spans="4:23" ht="12.75" customHeight="1" x14ac:dyDescent="0.25">
      <c r="D195" s="420"/>
      <c r="E195" s="860">
        <v>185</v>
      </c>
      <c r="F195" s="862" t="s">
        <v>402</v>
      </c>
      <c r="G195" s="844" t="str">
        <f>Translations!$B$1770</f>
        <v>Occupied Palestinian Territory</v>
      </c>
      <c r="H195" s="844"/>
      <c r="I195" s="844"/>
      <c r="J195" s="420"/>
      <c r="K195" s="420"/>
      <c r="L195" s="420"/>
      <c r="M195" s="420"/>
      <c r="N195" s="420"/>
      <c r="W195" s="104"/>
    </row>
    <row r="196" spans="4:23" ht="12.75" customHeight="1" x14ac:dyDescent="0.25">
      <c r="D196" s="420"/>
      <c r="E196" s="860">
        <v>186</v>
      </c>
      <c r="F196" s="862" t="s">
        <v>403</v>
      </c>
      <c r="G196" s="844" t="s">
        <v>404</v>
      </c>
      <c r="H196" s="844"/>
      <c r="I196" s="844"/>
      <c r="J196" s="420"/>
      <c r="K196" s="420"/>
      <c r="L196" s="420"/>
      <c r="M196" s="420"/>
      <c r="N196" s="420"/>
      <c r="W196" s="104"/>
    </row>
    <row r="197" spans="4:23" ht="12.75" customHeight="1" x14ac:dyDescent="0.25">
      <c r="D197" s="420"/>
      <c r="E197" s="860">
        <v>187</v>
      </c>
      <c r="F197" s="862" t="s">
        <v>405</v>
      </c>
      <c r="G197" s="844" t="str">
        <f>Translations!$B$1771</f>
        <v>Palau</v>
      </c>
      <c r="H197" s="844"/>
      <c r="I197" s="844"/>
      <c r="J197" s="420"/>
      <c r="K197" s="420"/>
      <c r="L197" s="420"/>
      <c r="M197" s="420"/>
      <c r="N197" s="420"/>
      <c r="W197" s="104"/>
    </row>
    <row r="198" spans="4:23" ht="12.75" customHeight="1" x14ac:dyDescent="0.25">
      <c r="D198" s="420"/>
      <c r="E198" s="860">
        <v>188</v>
      </c>
      <c r="F198" s="862" t="s">
        <v>406</v>
      </c>
      <c r="G198" s="844" t="str">
        <f>Translations!$B$1772</f>
        <v>Paraguay</v>
      </c>
      <c r="H198" s="844"/>
      <c r="I198" s="844"/>
      <c r="J198" s="420"/>
      <c r="K198" s="420"/>
      <c r="L198" s="420"/>
      <c r="M198" s="420"/>
      <c r="N198" s="420"/>
      <c r="W198" s="104"/>
    </row>
    <row r="199" spans="4:23" ht="12.75" customHeight="1" x14ac:dyDescent="0.25">
      <c r="D199" s="420"/>
      <c r="E199" s="860">
        <v>189</v>
      </c>
      <c r="F199" s="862" t="s">
        <v>407</v>
      </c>
      <c r="G199" s="844" t="str">
        <f>Translations!$B$1773</f>
        <v>Qatar</v>
      </c>
      <c r="H199" s="844"/>
      <c r="I199" s="844"/>
      <c r="J199" s="420"/>
      <c r="K199" s="420"/>
      <c r="L199" s="420"/>
      <c r="M199" s="420"/>
      <c r="N199" s="420"/>
      <c r="W199" s="104"/>
    </row>
    <row r="200" spans="4:23" ht="12.75" customHeight="1" x14ac:dyDescent="0.25">
      <c r="D200" s="420"/>
      <c r="E200" s="860">
        <v>190</v>
      </c>
      <c r="F200" s="862" t="s">
        <v>408</v>
      </c>
      <c r="G200" s="844" t="str">
        <f>Translations!$B$1774</f>
        <v>High seas</v>
      </c>
      <c r="H200" s="844"/>
      <c r="I200" s="844"/>
      <c r="J200" s="420"/>
      <c r="K200" s="420"/>
      <c r="L200" s="420"/>
      <c r="M200" s="420"/>
      <c r="N200" s="420"/>
      <c r="W200" s="104"/>
    </row>
    <row r="201" spans="4:23" ht="12.75" customHeight="1" x14ac:dyDescent="0.25">
      <c r="D201" s="420"/>
      <c r="E201" s="860">
        <v>191</v>
      </c>
      <c r="F201" s="862" t="s">
        <v>409</v>
      </c>
      <c r="G201" s="844" t="str">
        <f>Translations!$B$1775</f>
        <v>Réunion</v>
      </c>
      <c r="H201" s="844"/>
      <c r="I201" s="844"/>
      <c r="J201" s="420"/>
      <c r="K201" s="420"/>
      <c r="L201" s="420"/>
      <c r="M201" s="420"/>
      <c r="N201" s="420"/>
      <c r="W201" s="104"/>
    </row>
    <row r="202" spans="4:23" ht="12.75" customHeight="1" x14ac:dyDescent="0.25">
      <c r="D202" s="420"/>
      <c r="E202" s="860">
        <v>192</v>
      </c>
      <c r="F202" s="862" t="s">
        <v>410</v>
      </c>
      <c r="G202" s="844" t="s">
        <v>411</v>
      </c>
      <c r="H202" s="844"/>
      <c r="I202" s="844"/>
      <c r="J202" s="420"/>
      <c r="K202" s="420"/>
      <c r="L202" s="420"/>
      <c r="M202" s="420"/>
      <c r="N202" s="420"/>
      <c r="W202" s="104"/>
    </row>
    <row r="203" spans="4:23" ht="12.75" customHeight="1" x14ac:dyDescent="0.25">
      <c r="D203" s="420"/>
      <c r="E203" s="860">
        <v>193</v>
      </c>
      <c r="F203" s="862" t="s">
        <v>412</v>
      </c>
      <c r="G203" s="844" t="str">
        <f>Translations!$B$1776</f>
        <v>Serbia</v>
      </c>
      <c r="H203" s="844"/>
      <c r="I203" s="844"/>
      <c r="J203" s="420"/>
      <c r="K203" s="420"/>
      <c r="L203" s="420"/>
      <c r="M203" s="420"/>
      <c r="N203" s="420"/>
      <c r="W203" s="104"/>
    </row>
    <row r="204" spans="4:23" ht="12.75" customHeight="1" x14ac:dyDescent="0.25">
      <c r="D204" s="420"/>
      <c r="E204" s="860">
        <v>194</v>
      </c>
      <c r="F204" s="862" t="s">
        <v>413</v>
      </c>
      <c r="G204" s="844" t="str">
        <f>Translations!$B$1777</f>
        <v>Russian Federation</v>
      </c>
      <c r="H204" s="844"/>
      <c r="I204" s="844"/>
      <c r="J204" s="420"/>
      <c r="K204" s="420"/>
      <c r="L204" s="420"/>
      <c r="M204" s="420"/>
      <c r="N204" s="420"/>
      <c r="W204" s="104"/>
    </row>
    <row r="205" spans="4:23" ht="12.75" customHeight="1" x14ac:dyDescent="0.25">
      <c r="D205" s="420"/>
      <c r="E205" s="860">
        <v>195</v>
      </c>
      <c r="F205" s="862" t="s">
        <v>414</v>
      </c>
      <c r="G205" s="844" t="str">
        <f>Translations!$B$1778</f>
        <v>Rwanda</v>
      </c>
      <c r="H205" s="844"/>
      <c r="I205" s="844"/>
      <c r="J205" s="420"/>
      <c r="K205" s="420"/>
      <c r="L205" s="420"/>
      <c r="M205" s="420"/>
      <c r="N205" s="420"/>
      <c r="W205" s="104"/>
    </row>
    <row r="206" spans="4:23" ht="12.75" customHeight="1" x14ac:dyDescent="0.25">
      <c r="D206" s="420"/>
      <c r="E206" s="860">
        <v>196</v>
      </c>
      <c r="F206" s="862" t="s">
        <v>415</v>
      </c>
      <c r="G206" s="844" t="str">
        <f>Translations!$B$1779</f>
        <v>Saudi Arabia</v>
      </c>
      <c r="H206" s="844"/>
      <c r="I206" s="844"/>
      <c r="J206" s="420"/>
      <c r="K206" s="420"/>
      <c r="L206" s="420"/>
      <c r="M206" s="420"/>
      <c r="N206" s="420"/>
      <c r="W206" s="104"/>
    </row>
    <row r="207" spans="4:23" ht="12.75" customHeight="1" x14ac:dyDescent="0.25">
      <c r="D207" s="420"/>
      <c r="E207" s="860">
        <v>197</v>
      </c>
      <c r="F207" s="862" t="s">
        <v>416</v>
      </c>
      <c r="G207" s="844" t="str">
        <f>Translations!$B$1780</f>
        <v>Solomon Islands</v>
      </c>
      <c r="H207" s="844"/>
      <c r="I207" s="844"/>
      <c r="J207" s="420"/>
      <c r="K207" s="420"/>
      <c r="L207" s="420"/>
      <c r="M207" s="420"/>
      <c r="N207" s="420"/>
      <c r="W207" s="104"/>
    </row>
    <row r="208" spans="4:23" ht="12.75" customHeight="1" x14ac:dyDescent="0.25">
      <c r="D208" s="420"/>
      <c r="E208" s="860">
        <v>198</v>
      </c>
      <c r="F208" s="862" t="s">
        <v>417</v>
      </c>
      <c r="G208" s="844" t="str">
        <f>Translations!$B$1781</f>
        <v>Seychelles</v>
      </c>
      <c r="H208" s="844"/>
      <c r="I208" s="844"/>
      <c r="J208" s="420"/>
      <c r="K208" s="420"/>
      <c r="L208" s="420"/>
      <c r="M208" s="420"/>
      <c r="N208" s="420"/>
      <c r="W208" s="104"/>
    </row>
    <row r="209" spans="4:23" ht="12.75" customHeight="1" x14ac:dyDescent="0.25">
      <c r="D209" s="420"/>
      <c r="E209" s="860">
        <v>199</v>
      </c>
      <c r="F209" s="862" t="s">
        <v>418</v>
      </c>
      <c r="G209" s="844" t="str">
        <f>Translations!$B$1782</f>
        <v>Sudan</v>
      </c>
      <c r="H209" s="844"/>
      <c r="I209" s="844"/>
      <c r="J209" s="420"/>
      <c r="K209" s="420"/>
      <c r="L209" s="420"/>
      <c r="M209" s="420"/>
      <c r="N209" s="420"/>
      <c r="W209" s="104"/>
    </row>
    <row r="210" spans="4:23" ht="12.75" customHeight="1" x14ac:dyDescent="0.25">
      <c r="D210" s="420"/>
      <c r="E210" s="860">
        <v>200</v>
      </c>
      <c r="F210" s="862" t="s">
        <v>419</v>
      </c>
      <c r="G210" s="844" t="s">
        <v>420</v>
      </c>
      <c r="H210" s="844"/>
      <c r="I210" s="844"/>
      <c r="J210" s="420"/>
      <c r="K210" s="420"/>
      <c r="L210" s="420"/>
      <c r="M210" s="420"/>
      <c r="N210" s="420"/>
      <c r="W210" s="104"/>
    </row>
    <row r="211" spans="4:23" ht="12.75" customHeight="1" x14ac:dyDescent="0.25">
      <c r="D211" s="420"/>
      <c r="E211" s="860">
        <v>201</v>
      </c>
      <c r="F211" s="862" t="s">
        <v>421</v>
      </c>
      <c r="G211" s="844" t="str">
        <f>Translations!$B$1783</f>
        <v>Singapore</v>
      </c>
      <c r="H211" s="844"/>
      <c r="I211" s="844"/>
      <c r="J211" s="420"/>
      <c r="K211" s="420"/>
      <c r="L211" s="420"/>
      <c r="M211" s="420"/>
      <c r="N211" s="420"/>
      <c r="W211" s="104"/>
    </row>
    <row r="212" spans="4:23" ht="12.75" customHeight="1" x14ac:dyDescent="0.25">
      <c r="D212" s="420"/>
      <c r="E212" s="860">
        <v>202</v>
      </c>
      <c r="F212" s="862" t="s">
        <v>422</v>
      </c>
      <c r="G212" s="844" t="str">
        <f>Translations!$B$1784</f>
        <v>Saint Helena, Ascension and Tristan</v>
      </c>
      <c r="H212" s="844"/>
      <c r="I212" s="844"/>
      <c r="J212" s="420"/>
      <c r="K212" s="420"/>
      <c r="L212" s="420"/>
      <c r="M212" s="420"/>
      <c r="N212" s="420"/>
      <c r="W212" s="104"/>
    </row>
    <row r="213" spans="4:23" ht="12.75" customHeight="1" x14ac:dyDescent="0.25">
      <c r="D213" s="420"/>
      <c r="E213" s="860">
        <v>203</v>
      </c>
      <c r="F213" s="862" t="s">
        <v>423</v>
      </c>
      <c r="G213" s="844" t="s">
        <v>424</v>
      </c>
      <c r="H213" s="844"/>
      <c r="I213" s="844"/>
      <c r="J213" s="420"/>
      <c r="K213" s="420"/>
      <c r="L213" s="420"/>
      <c r="M213" s="420"/>
      <c r="N213" s="420"/>
      <c r="W213" s="104"/>
    </row>
    <row r="214" spans="4:23" ht="12.75" customHeight="1" x14ac:dyDescent="0.25">
      <c r="D214" s="420"/>
      <c r="E214" s="860">
        <v>204</v>
      </c>
      <c r="F214" s="862" t="s">
        <v>425</v>
      </c>
      <c r="G214" s="844" t="str">
        <f>Translations!$B$1785</f>
        <v>Svalbard and Jan Mayen Islands</v>
      </c>
      <c r="H214" s="844"/>
      <c r="I214" s="844"/>
      <c r="J214" s="420"/>
      <c r="K214" s="420"/>
      <c r="L214" s="420"/>
      <c r="M214" s="420"/>
      <c r="N214" s="420"/>
      <c r="W214" s="104"/>
    </row>
    <row r="215" spans="4:23" ht="12.75" customHeight="1" x14ac:dyDescent="0.25">
      <c r="D215" s="420"/>
      <c r="E215" s="860">
        <v>205</v>
      </c>
      <c r="F215" s="862" t="s">
        <v>426</v>
      </c>
      <c r="G215" s="844" t="s">
        <v>427</v>
      </c>
      <c r="H215" s="844"/>
      <c r="I215" s="844"/>
      <c r="J215" s="420"/>
      <c r="K215" s="420"/>
      <c r="L215" s="420"/>
      <c r="M215" s="420"/>
      <c r="N215" s="420"/>
      <c r="W215" s="104"/>
    </row>
    <row r="216" spans="4:23" ht="12.75" customHeight="1" x14ac:dyDescent="0.25">
      <c r="D216" s="420"/>
      <c r="E216" s="860">
        <v>206</v>
      </c>
      <c r="F216" s="862" t="s">
        <v>428</v>
      </c>
      <c r="G216" s="844" t="str">
        <f>Translations!$B$1786</f>
        <v>Sierra Leone</v>
      </c>
      <c r="H216" s="844"/>
      <c r="I216" s="844"/>
      <c r="J216" s="420"/>
      <c r="K216" s="420"/>
      <c r="L216" s="420"/>
      <c r="M216" s="420"/>
      <c r="N216" s="420"/>
      <c r="W216" s="104"/>
    </row>
    <row r="217" spans="4:23" ht="12.75" customHeight="1" x14ac:dyDescent="0.25">
      <c r="D217" s="420"/>
      <c r="E217" s="860">
        <v>207</v>
      </c>
      <c r="F217" s="862" t="s">
        <v>429</v>
      </c>
      <c r="G217" s="844" t="str">
        <f>Translations!$B$1787</f>
        <v>San Marino</v>
      </c>
      <c r="H217" s="844"/>
      <c r="I217" s="844"/>
      <c r="J217" s="420"/>
      <c r="K217" s="420"/>
      <c r="L217" s="420"/>
      <c r="M217" s="420"/>
      <c r="N217" s="420"/>
      <c r="W217" s="104"/>
    </row>
    <row r="218" spans="4:23" ht="12.75" customHeight="1" x14ac:dyDescent="0.25">
      <c r="D218" s="420"/>
      <c r="E218" s="860">
        <v>208</v>
      </c>
      <c r="F218" s="862" t="s">
        <v>430</v>
      </c>
      <c r="G218" s="844" t="str">
        <f>Translations!$B$1788</f>
        <v>Senegal</v>
      </c>
      <c r="H218" s="844"/>
      <c r="I218" s="844"/>
      <c r="J218" s="420"/>
      <c r="K218" s="420"/>
      <c r="L218" s="420"/>
      <c r="M218" s="420"/>
      <c r="N218" s="420"/>
      <c r="W218" s="104"/>
    </row>
    <row r="219" spans="4:23" ht="12.75" customHeight="1" x14ac:dyDescent="0.25">
      <c r="D219" s="420"/>
      <c r="E219" s="860">
        <v>209</v>
      </c>
      <c r="F219" s="862" t="s">
        <v>431</v>
      </c>
      <c r="G219" s="844" t="str">
        <f>Translations!$B$1789</f>
        <v>Somalia</v>
      </c>
      <c r="H219" s="844"/>
      <c r="I219" s="844"/>
      <c r="J219" s="420"/>
      <c r="K219" s="420"/>
      <c r="L219" s="420"/>
      <c r="M219" s="420"/>
      <c r="N219" s="420"/>
      <c r="W219" s="104"/>
    </row>
    <row r="220" spans="4:23" ht="12.75" customHeight="1" x14ac:dyDescent="0.25">
      <c r="D220" s="420"/>
      <c r="E220" s="860">
        <v>210</v>
      </c>
      <c r="F220" s="862" t="s">
        <v>432</v>
      </c>
      <c r="G220" s="844" t="str">
        <f>Translations!$B$1790</f>
        <v>Suriname</v>
      </c>
      <c r="H220" s="844"/>
      <c r="I220" s="844"/>
      <c r="J220" s="420"/>
      <c r="K220" s="420"/>
      <c r="L220" s="420"/>
      <c r="M220" s="420"/>
      <c r="N220" s="420"/>
      <c r="W220" s="104"/>
    </row>
    <row r="221" spans="4:23" ht="12.75" customHeight="1" x14ac:dyDescent="0.25">
      <c r="D221" s="420"/>
      <c r="E221" s="860">
        <v>211</v>
      </c>
      <c r="F221" s="862" t="s">
        <v>433</v>
      </c>
      <c r="G221" s="844" t="str">
        <f>Translations!$B$1791</f>
        <v>South Sudan</v>
      </c>
      <c r="H221" s="844"/>
      <c r="I221" s="844"/>
      <c r="J221" s="420"/>
      <c r="K221" s="420"/>
      <c r="L221" s="420"/>
      <c r="M221" s="420"/>
      <c r="N221" s="420"/>
      <c r="W221" s="104"/>
    </row>
    <row r="222" spans="4:23" ht="12.75" customHeight="1" x14ac:dyDescent="0.25">
      <c r="D222" s="420"/>
      <c r="E222" s="860">
        <v>212</v>
      </c>
      <c r="F222" s="862" t="s">
        <v>434</v>
      </c>
      <c r="G222" s="844" t="str">
        <f>Translations!$B$1792</f>
        <v>Sao Tome and Principe</v>
      </c>
      <c r="H222" s="844"/>
      <c r="I222" s="844"/>
      <c r="J222" s="420"/>
      <c r="K222" s="420"/>
      <c r="L222" s="420"/>
      <c r="M222" s="420"/>
      <c r="N222" s="420"/>
      <c r="W222" s="104"/>
    </row>
    <row r="223" spans="4:23" ht="12.75" customHeight="1" x14ac:dyDescent="0.25">
      <c r="D223" s="420"/>
      <c r="E223" s="860">
        <v>213</v>
      </c>
      <c r="F223" s="862" t="s">
        <v>435</v>
      </c>
      <c r="G223" s="844" t="str">
        <f>Translations!$B$1793</f>
        <v>El Salvador</v>
      </c>
      <c r="H223" s="844"/>
      <c r="I223" s="844"/>
      <c r="J223" s="420"/>
      <c r="K223" s="420"/>
      <c r="L223" s="420"/>
      <c r="M223" s="420"/>
      <c r="N223" s="420"/>
      <c r="W223" s="104"/>
    </row>
    <row r="224" spans="4:23" ht="12.75" customHeight="1" x14ac:dyDescent="0.25">
      <c r="D224" s="420"/>
      <c r="E224" s="860">
        <v>214</v>
      </c>
      <c r="F224" s="862" t="s">
        <v>436</v>
      </c>
      <c r="G224" s="844" t="str">
        <f>Translations!$B$1794</f>
        <v>Sint Maarten (Dutch part)</v>
      </c>
      <c r="H224" s="844"/>
      <c r="I224" s="844"/>
      <c r="J224" s="420"/>
      <c r="K224" s="420"/>
      <c r="L224" s="420"/>
      <c r="M224" s="420"/>
      <c r="N224" s="420"/>
      <c r="W224" s="104"/>
    </row>
    <row r="225" spans="4:23" ht="12.75" customHeight="1" x14ac:dyDescent="0.25">
      <c r="D225" s="420"/>
      <c r="E225" s="860">
        <v>215</v>
      </c>
      <c r="F225" s="862" t="s">
        <v>437</v>
      </c>
      <c r="G225" s="844" t="str">
        <f>Translations!$B$1795</f>
        <v>Syrian Arab Republic</v>
      </c>
      <c r="H225" s="844"/>
      <c r="I225" s="844"/>
      <c r="J225" s="420"/>
      <c r="K225" s="420"/>
      <c r="L225" s="420"/>
      <c r="M225" s="420"/>
      <c r="N225" s="420"/>
      <c r="W225" s="104"/>
    </row>
    <row r="226" spans="4:23" ht="12.75" customHeight="1" x14ac:dyDescent="0.25">
      <c r="D226" s="420"/>
      <c r="E226" s="860">
        <v>216</v>
      </c>
      <c r="F226" s="862" t="s">
        <v>438</v>
      </c>
      <c r="G226" s="844" t="str">
        <f>Translations!$B$1796</f>
        <v>Swaziland</v>
      </c>
      <c r="H226" s="844"/>
      <c r="I226" s="844"/>
      <c r="J226" s="420"/>
      <c r="K226" s="420"/>
      <c r="L226" s="420"/>
      <c r="M226" s="420"/>
      <c r="N226" s="420"/>
      <c r="W226" s="104"/>
    </row>
    <row r="227" spans="4:23" ht="12.75" customHeight="1" x14ac:dyDescent="0.25">
      <c r="D227" s="420"/>
      <c r="E227" s="860">
        <v>217</v>
      </c>
      <c r="F227" s="862" t="s">
        <v>439</v>
      </c>
      <c r="G227" s="844" t="str">
        <f>Translations!$B$1797</f>
        <v>Turks and Caicos Islands</v>
      </c>
      <c r="H227" s="844"/>
      <c r="I227" s="844"/>
      <c r="J227" s="420"/>
      <c r="K227" s="420"/>
      <c r="L227" s="420"/>
      <c r="M227" s="420"/>
      <c r="N227" s="420"/>
      <c r="W227" s="104"/>
    </row>
    <row r="228" spans="4:23" ht="12.75" customHeight="1" x14ac:dyDescent="0.25">
      <c r="D228" s="420"/>
      <c r="E228" s="860">
        <v>218</v>
      </c>
      <c r="F228" s="862" t="s">
        <v>440</v>
      </c>
      <c r="G228" s="844" t="str">
        <f>Translations!$B$1798</f>
        <v>Chad</v>
      </c>
      <c r="H228" s="844"/>
      <c r="I228" s="844"/>
      <c r="J228" s="420"/>
      <c r="K228" s="420"/>
      <c r="L228" s="420"/>
      <c r="M228" s="420"/>
      <c r="N228" s="420"/>
      <c r="W228" s="104"/>
    </row>
    <row r="229" spans="4:23" ht="12.75" customHeight="1" x14ac:dyDescent="0.25">
      <c r="D229" s="420"/>
      <c r="E229" s="860">
        <v>219</v>
      </c>
      <c r="F229" s="862" t="s">
        <v>441</v>
      </c>
      <c r="G229" s="844" t="str">
        <f>Translations!$B$1799</f>
        <v>French Southern Territories</v>
      </c>
      <c r="H229" s="844"/>
      <c r="I229" s="844"/>
      <c r="J229" s="420"/>
      <c r="K229" s="420"/>
      <c r="L229" s="420"/>
      <c r="M229" s="420"/>
      <c r="N229" s="420"/>
      <c r="W229" s="104"/>
    </row>
    <row r="230" spans="4:23" ht="12.75" customHeight="1" x14ac:dyDescent="0.25">
      <c r="D230" s="420"/>
      <c r="E230" s="860">
        <v>220</v>
      </c>
      <c r="F230" s="862" t="s">
        <v>442</v>
      </c>
      <c r="G230" s="844" t="str">
        <f>Translations!$B$1800</f>
        <v>Togo</v>
      </c>
      <c r="H230" s="844"/>
      <c r="I230" s="844"/>
      <c r="J230" s="420"/>
      <c r="K230" s="420"/>
      <c r="L230" s="420"/>
      <c r="M230" s="420"/>
      <c r="N230" s="420"/>
      <c r="W230" s="104"/>
    </row>
    <row r="231" spans="4:23" ht="12.75" customHeight="1" x14ac:dyDescent="0.25">
      <c r="D231" s="420"/>
      <c r="E231" s="860">
        <v>221</v>
      </c>
      <c r="F231" s="862" t="s">
        <v>443</v>
      </c>
      <c r="G231" s="844" t="str">
        <f>Translations!$B$1801</f>
        <v>Thailand</v>
      </c>
      <c r="H231" s="844"/>
      <c r="I231" s="844"/>
      <c r="J231" s="420"/>
      <c r="K231" s="420"/>
      <c r="L231" s="420"/>
      <c r="M231" s="420"/>
      <c r="N231" s="420"/>
      <c r="W231" s="104"/>
    </row>
    <row r="232" spans="4:23" ht="12.75" customHeight="1" x14ac:dyDescent="0.25">
      <c r="D232" s="420"/>
      <c r="E232" s="860">
        <v>222</v>
      </c>
      <c r="F232" s="862" t="s">
        <v>444</v>
      </c>
      <c r="G232" s="844" t="str">
        <f>Translations!$B$1802</f>
        <v>Tajikistan</v>
      </c>
      <c r="H232" s="844"/>
      <c r="I232" s="844"/>
      <c r="J232" s="420"/>
      <c r="K232" s="420"/>
      <c r="L232" s="420"/>
      <c r="M232" s="420"/>
      <c r="N232" s="420"/>
      <c r="W232" s="104"/>
    </row>
    <row r="233" spans="4:23" ht="12.75" customHeight="1" x14ac:dyDescent="0.25">
      <c r="D233" s="420"/>
      <c r="E233" s="860">
        <v>223</v>
      </c>
      <c r="F233" s="862" t="s">
        <v>445</v>
      </c>
      <c r="G233" s="844" t="str">
        <f>Translations!$B$1803</f>
        <v>Tokelau</v>
      </c>
      <c r="H233" s="844"/>
      <c r="I233" s="844"/>
      <c r="J233" s="420"/>
      <c r="K233" s="420"/>
      <c r="L233" s="420"/>
      <c r="M233" s="420"/>
      <c r="N233" s="420"/>
      <c r="W233" s="104"/>
    </row>
    <row r="234" spans="4:23" ht="12.75" customHeight="1" x14ac:dyDescent="0.25">
      <c r="D234" s="420"/>
      <c r="E234" s="860">
        <v>224</v>
      </c>
      <c r="F234" s="862" t="s">
        <v>446</v>
      </c>
      <c r="G234" s="844" t="str">
        <f>Translations!$B$1804</f>
        <v>Timor-Leste</v>
      </c>
      <c r="H234" s="844"/>
      <c r="I234" s="844"/>
      <c r="J234" s="420"/>
      <c r="K234" s="420"/>
      <c r="L234" s="420"/>
      <c r="M234" s="420"/>
      <c r="N234" s="420"/>
      <c r="W234" s="104"/>
    </row>
    <row r="235" spans="4:23" ht="12.75" customHeight="1" x14ac:dyDescent="0.25">
      <c r="D235" s="420"/>
      <c r="E235" s="860">
        <v>225</v>
      </c>
      <c r="F235" s="862" t="s">
        <v>447</v>
      </c>
      <c r="G235" s="844" t="str">
        <f>Translations!$B$1805</f>
        <v>Turkmenistan</v>
      </c>
      <c r="H235" s="844"/>
      <c r="I235" s="844"/>
      <c r="J235" s="420"/>
      <c r="K235" s="420"/>
      <c r="L235" s="420"/>
      <c r="M235" s="420"/>
      <c r="N235" s="420"/>
      <c r="W235" s="104"/>
    </row>
    <row r="236" spans="4:23" ht="12.75" customHeight="1" x14ac:dyDescent="0.25">
      <c r="D236" s="420"/>
      <c r="E236" s="860">
        <v>226</v>
      </c>
      <c r="F236" s="862" t="s">
        <v>448</v>
      </c>
      <c r="G236" s="844" t="str">
        <f>Translations!$B$1806</f>
        <v>Tunisia</v>
      </c>
      <c r="H236" s="844"/>
      <c r="I236" s="844"/>
      <c r="J236" s="420"/>
      <c r="K236" s="420"/>
      <c r="L236" s="420"/>
      <c r="M236" s="420"/>
      <c r="N236" s="420"/>
      <c r="W236" s="104"/>
    </row>
    <row r="237" spans="4:23" ht="12.75" customHeight="1" x14ac:dyDescent="0.25">
      <c r="D237" s="420"/>
      <c r="E237" s="860">
        <v>227</v>
      </c>
      <c r="F237" s="862" t="s">
        <v>449</v>
      </c>
      <c r="G237" s="844" t="str">
        <f>Translations!$B$1807</f>
        <v>Tonga</v>
      </c>
      <c r="H237" s="844"/>
      <c r="I237" s="844"/>
      <c r="J237" s="420"/>
      <c r="K237" s="420"/>
      <c r="L237" s="420"/>
      <c r="M237" s="420"/>
      <c r="N237" s="420"/>
      <c r="W237" s="104"/>
    </row>
    <row r="238" spans="4:23" ht="12.75" customHeight="1" x14ac:dyDescent="0.25">
      <c r="D238" s="420"/>
      <c r="E238" s="860">
        <v>228</v>
      </c>
      <c r="F238" s="862" t="s">
        <v>450</v>
      </c>
      <c r="G238" s="844" t="str">
        <f>Translations!$B$1808</f>
        <v>East Timor</v>
      </c>
      <c r="H238" s="844"/>
      <c r="I238" s="844"/>
      <c r="J238" s="420"/>
      <c r="K238" s="420"/>
      <c r="L238" s="420"/>
      <c r="M238" s="420"/>
      <c r="N238" s="420"/>
      <c r="W238" s="104"/>
    </row>
    <row r="239" spans="4:23" ht="12.75" customHeight="1" x14ac:dyDescent="0.25">
      <c r="D239" s="420"/>
      <c r="E239" s="860">
        <v>229</v>
      </c>
      <c r="F239" s="862" t="s">
        <v>451</v>
      </c>
      <c r="G239" s="844" t="str">
        <f>Translations!$B$1809</f>
        <v>Türkiye</v>
      </c>
      <c r="H239" s="844"/>
      <c r="I239" s="844"/>
      <c r="J239" s="420"/>
      <c r="K239" s="420"/>
      <c r="L239" s="420"/>
      <c r="M239" s="420"/>
      <c r="N239" s="420"/>
      <c r="W239" s="104"/>
    </row>
    <row r="240" spans="4:23" ht="12.75" customHeight="1" x14ac:dyDescent="0.25">
      <c r="D240" s="420"/>
      <c r="E240" s="860">
        <v>230</v>
      </c>
      <c r="F240" s="862" t="s">
        <v>452</v>
      </c>
      <c r="G240" s="844" t="str">
        <f>Translations!$B$1810</f>
        <v>Trinidad and Tobago</v>
      </c>
      <c r="H240" s="844"/>
      <c r="I240" s="844"/>
      <c r="J240" s="420"/>
      <c r="K240" s="420"/>
      <c r="L240" s="420"/>
      <c r="M240" s="420"/>
      <c r="N240" s="420"/>
      <c r="W240" s="104"/>
    </row>
    <row r="241" spans="4:23" ht="12.75" customHeight="1" x14ac:dyDescent="0.25">
      <c r="D241" s="420"/>
      <c r="E241" s="860">
        <v>231</v>
      </c>
      <c r="F241" s="862" t="s">
        <v>453</v>
      </c>
      <c r="G241" s="844" t="str">
        <f>Translations!$B$1811</f>
        <v>Tuvalu</v>
      </c>
      <c r="H241" s="844"/>
      <c r="I241" s="844"/>
      <c r="J241" s="420"/>
      <c r="K241" s="420"/>
      <c r="L241" s="420"/>
      <c r="M241" s="420"/>
      <c r="N241" s="420"/>
      <c r="W241" s="104"/>
    </row>
    <row r="242" spans="4:23" ht="12.75" customHeight="1" x14ac:dyDescent="0.25">
      <c r="D242" s="420"/>
      <c r="E242" s="860">
        <v>232</v>
      </c>
      <c r="F242" s="862" t="s">
        <v>454</v>
      </c>
      <c r="G242" s="844" t="str">
        <f>Translations!$B$1812</f>
        <v>Taiwan</v>
      </c>
      <c r="H242" s="844"/>
      <c r="I242" s="844"/>
      <c r="J242" s="420"/>
      <c r="K242" s="420"/>
      <c r="L242" s="420"/>
      <c r="M242" s="420"/>
      <c r="N242" s="420"/>
      <c r="W242" s="104"/>
    </row>
    <row r="243" spans="4:23" ht="12.75" customHeight="1" x14ac:dyDescent="0.25">
      <c r="D243" s="420"/>
      <c r="E243" s="860">
        <v>233</v>
      </c>
      <c r="F243" s="862" t="s">
        <v>455</v>
      </c>
      <c r="G243" s="844" t="str">
        <f>Translations!$B$1813</f>
        <v>Tanzania, United Republic of</v>
      </c>
      <c r="H243" s="844"/>
      <c r="I243" s="844"/>
      <c r="J243" s="420"/>
      <c r="K243" s="420"/>
      <c r="L243" s="420"/>
      <c r="M243" s="420"/>
      <c r="N243" s="420"/>
      <c r="W243" s="104"/>
    </row>
    <row r="244" spans="4:23" ht="12.75" customHeight="1" x14ac:dyDescent="0.25">
      <c r="D244" s="420"/>
      <c r="E244" s="860">
        <v>234</v>
      </c>
      <c r="F244" s="862" t="s">
        <v>456</v>
      </c>
      <c r="G244" s="844" t="str">
        <f>Translations!$B$1814</f>
        <v>Ukraine</v>
      </c>
      <c r="H244" s="844"/>
      <c r="I244" s="844"/>
      <c r="J244" s="420"/>
      <c r="K244" s="420"/>
      <c r="L244" s="420"/>
      <c r="M244" s="420"/>
      <c r="N244" s="420"/>
      <c r="W244" s="104"/>
    </row>
    <row r="245" spans="4:23" ht="12.75" customHeight="1" x14ac:dyDescent="0.25">
      <c r="D245" s="420"/>
      <c r="E245" s="860">
        <v>235</v>
      </c>
      <c r="F245" s="862" t="s">
        <v>457</v>
      </c>
      <c r="G245" s="844" t="str">
        <f>Translations!$B$1815</f>
        <v>Uganda</v>
      </c>
      <c r="H245" s="844"/>
      <c r="I245" s="844"/>
      <c r="J245" s="420"/>
      <c r="K245" s="420"/>
      <c r="L245" s="420"/>
      <c r="M245" s="420"/>
      <c r="N245" s="420"/>
      <c r="W245" s="104"/>
    </row>
    <row r="246" spans="4:23" ht="12.75" customHeight="1" x14ac:dyDescent="0.25">
      <c r="D246" s="420"/>
      <c r="E246" s="860">
        <v>236</v>
      </c>
      <c r="F246" s="862" t="s">
        <v>458</v>
      </c>
      <c r="G246" s="844" t="str">
        <f>Translations!$B$1816</f>
        <v>United States Minor Outlying Island</v>
      </c>
      <c r="H246" s="844"/>
      <c r="I246" s="844"/>
      <c r="J246" s="420"/>
      <c r="K246" s="420"/>
      <c r="L246" s="420"/>
      <c r="M246" s="420"/>
      <c r="N246" s="420"/>
      <c r="W246" s="104"/>
    </row>
    <row r="247" spans="4:23" ht="12.75" customHeight="1" x14ac:dyDescent="0.25">
      <c r="D247" s="420"/>
      <c r="E247" s="860">
        <v>237</v>
      </c>
      <c r="F247" s="862" t="s">
        <v>459</v>
      </c>
      <c r="G247" s="844" t="str">
        <f>Translations!$B$1817</f>
        <v>United States</v>
      </c>
      <c r="H247" s="844"/>
      <c r="I247" s="844"/>
      <c r="J247" s="420"/>
      <c r="K247" s="420"/>
      <c r="L247" s="420"/>
      <c r="M247" s="420"/>
      <c r="N247" s="420"/>
      <c r="W247" s="104"/>
    </row>
    <row r="248" spans="4:23" ht="12.75" customHeight="1" x14ac:dyDescent="0.25">
      <c r="D248" s="420"/>
      <c r="E248" s="860">
        <v>238</v>
      </c>
      <c r="F248" s="862" t="s">
        <v>460</v>
      </c>
      <c r="G248" s="844" t="str">
        <f>Translations!$B$1818</f>
        <v>Uruguay</v>
      </c>
      <c r="H248" s="844"/>
      <c r="I248" s="844"/>
      <c r="J248" s="420"/>
      <c r="K248" s="420"/>
      <c r="L248" s="420"/>
      <c r="M248" s="420"/>
      <c r="N248" s="420"/>
      <c r="W248" s="104"/>
    </row>
    <row r="249" spans="4:23" ht="12.75" customHeight="1" x14ac:dyDescent="0.25">
      <c r="D249" s="420"/>
      <c r="E249" s="860">
        <v>239</v>
      </c>
      <c r="F249" s="862" t="s">
        <v>461</v>
      </c>
      <c r="G249" s="844" t="str">
        <f>Translations!$B$1819</f>
        <v>Uzbekistan</v>
      </c>
      <c r="H249" s="844"/>
      <c r="I249" s="844"/>
      <c r="J249" s="420"/>
      <c r="K249" s="420"/>
      <c r="L249" s="420"/>
      <c r="M249" s="420"/>
      <c r="N249" s="420"/>
      <c r="W249" s="104"/>
    </row>
    <row r="250" spans="4:23" ht="12.75" customHeight="1" x14ac:dyDescent="0.25">
      <c r="D250" s="420"/>
      <c r="E250" s="860">
        <v>240</v>
      </c>
      <c r="F250" s="862" t="s">
        <v>462</v>
      </c>
      <c r="G250" s="844" t="str">
        <f>Translations!$B$1820</f>
        <v>Vatican City</v>
      </c>
      <c r="H250" s="844"/>
      <c r="I250" s="844"/>
      <c r="J250" s="420"/>
      <c r="K250" s="420"/>
      <c r="L250" s="420"/>
      <c r="M250" s="420"/>
      <c r="N250" s="420"/>
      <c r="W250" s="104"/>
    </row>
    <row r="251" spans="4:23" ht="12.75" customHeight="1" x14ac:dyDescent="0.25">
      <c r="D251" s="420"/>
      <c r="E251" s="860">
        <v>241</v>
      </c>
      <c r="F251" s="862" t="s">
        <v>463</v>
      </c>
      <c r="G251" s="844" t="str">
        <f>Translations!$B$1821</f>
        <v>St Vincent</v>
      </c>
      <c r="H251" s="844"/>
      <c r="I251" s="844"/>
      <c r="J251" s="420"/>
      <c r="K251" s="420"/>
      <c r="L251" s="420"/>
      <c r="M251" s="420"/>
      <c r="N251" s="420"/>
      <c r="W251" s="104"/>
    </row>
    <row r="252" spans="4:23" ht="12.75" customHeight="1" x14ac:dyDescent="0.25">
      <c r="D252" s="420"/>
      <c r="E252" s="860">
        <v>242</v>
      </c>
      <c r="F252" s="862" t="s">
        <v>464</v>
      </c>
      <c r="G252" s="844" t="str">
        <f>Translations!$B$1822</f>
        <v>Venezuela</v>
      </c>
      <c r="H252" s="844"/>
      <c r="I252" s="844"/>
      <c r="J252" s="420"/>
      <c r="K252" s="420"/>
      <c r="L252" s="420"/>
      <c r="M252" s="420"/>
      <c r="N252" s="420"/>
      <c r="W252" s="104"/>
    </row>
    <row r="253" spans="4:23" ht="12.75" customHeight="1" x14ac:dyDescent="0.25">
      <c r="D253" s="420"/>
      <c r="E253" s="860">
        <v>243</v>
      </c>
      <c r="F253" s="862" t="s">
        <v>465</v>
      </c>
      <c r="G253" s="844" t="str">
        <f>Translations!$B$1823</f>
        <v>British Virgin Islands</v>
      </c>
      <c r="H253" s="844"/>
      <c r="I253" s="844"/>
      <c r="J253" s="420"/>
      <c r="K253" s="420"/>
      <c r="L253" s="420"/>
      <c r="M253" s="420"/>
      <c r="N253" s="420"/>
      <c r="W253" s="104"/>
    </row>
    <row r="254" spans="4:23" ht="12.75" customHeight="1" x14ac:dyDescent="0.25">
      <c r="D254" s="420"/>
      <c r="E254" s="860">
        <v>244</v>
      </c>
      <c r="F254" s="862" t="s">
        <v>466</v>
      </c>
      <c r="G254" s="844" t="str">
        <f>Translations!$B$1824</f>
        <v>US Virgin Islands</v>
      </c>
      <c r="H254" s="844"/>
      <c r="I254" s="844"/>
      <c r="J254" s="420"/>
      <c r="K254" s="420"/>
      <c r="L254" s="420"/>
      <c r="M254" s="420"/>
      <c r="N254" s="420"/>
      <c r="W254" s="104"/>
    </row>
    <row r="255" spans="4:23" ht="12.75" customHeight="1" x14ac:dyDescent="0.25">
      <c r="D255" s="420"/>
      <c r="E255" s="860">
        <v>245</v>
      </c>
      <c r="F255" s="862" t="s">
        <v>467</v>
      </c>
      <c r="G255" s="844" t="str">
        <f>Translations!$B$1825</f>
        <v>Vietnam</v>
      </c>
      <c r="H255" s="844"/>
      <c r="I255" s="844"/>
      <c r="J255" s="420"/>
      <c r="K255" s="420"/>
      <c r="L255" s="420"/>
      <c r="M255" s="420"/>
      <c r="N255" s="420"/>
      <c r="W255" s="104"/>
    </row>
    <row r="256" spans="4:23" ht="12.75" customHeight="1" x14ac:dyDescent="0.25">
      <c r="D256" s="420"/>
      <c r="E256" s="860">
        <v>246</v>
      </c>
      <c r="F256" s="862" t="s">
        <v>468</v>
      </c>
      <c r="G256" s="844" t="str">
        <f>Translations!$B$1826</f>
        <v>Vanuatu</v>
      </c>
      <c r="H256" s="844"/>
      <c r="I256" s="844"/>
      <c r="J256" s="420"/>
      <c r="K256" s="420"/>
      <c r="L256" s="420"/>
      <c r="M256" s="420"/>
      <c r="N256" s="420"/>
      <c r="W256" s="104"/>
    </row>
    <row r="257" spans="4:23" ht="12.75" customHeight="1" x14ac:dyDescent="0.25">
      <c r="D257" s="420"/>
      <c r="E257" s="860">
        <v>247</v>
      </c>
      <c r="F257" s="862" t="s">
        <v>469</v>
      </c>
      <c r="G257" s="844" t="str">
        <f>Translations!$B$1827</f>
        <v>Wallis and Futuna Islands</v>
      </c>
      <c r="H257" s="844"/>
      <c r="I257" s="844"/>
      <c r="J257" s="420"/>
      <c r="K257" s="420"/>
      <c r="L257" s="420"/>
      <c r="M257" s="420"/>
      <c r="N257" s="420"/>
      <c r="W257" s="104"/>
    </row>
    <row r="258" spans="4:23" ht="12.75" customHeight="1" x14ac:dyDescent="0.25">
      <c r="D258" s="420"/>
      <c r="E258" s="860">
        <v>248</v>
      </c>
      <c r="F258" s="862" t="s">
        <v>470</v>
      </c>
      <c r="G258" s="844" t="str">
        <f>Translations!$B$1828</f>
        <v>Samoa</v>
      </c>
      <c r="H258" s="844"/>
      <c r="I258" s="844"/>
      <c r="J258" s="420"/>
      <c r="K258" s="420"/>
      <c r="L258" s="420"/>
      <c r="M258" s="420"/>
      <c r="N258" s="420"/>
      <c r="W258" s="104"/>
    </row>
    <row r="259" spans="4:23" ht="12.75" customHeight="1" x14ac:dyDescent="0.25">
      <c r="D259" s="420"/>
      <c r="E259" s="860">
        <v>249</v>
      </c>
      <c r="F259" s="862" t="s">
        <v>471</v>
      </c>
      <c r="G259" s="844" t="str">
        <f>Translations!$B$1829</f>
        <v>American Oceania</v>
      </c>
      <c r="H259" s="844"/>
      <c r="I259" s="844"/>
      <c r="J259" s="420"/>
      <c r="K259" s="420"/>
      <c r="L259" s="420"/>
      <c r="M259" s="420"/>
      <c r="N259" s="420"/>
      <c r="W259" s="104"/>
    </row>
    <row r="260" spans="4:23" ht="12.75" customHeight="1" x14ac:dyDescent="0.25">
      <c r="D260" s="420"/>
      <c r="E260" s="860">
        <v>250</v>
      </c>
      <c r="F260" s="862" t="s">
        <v>472</v>
      </c>
      <c r="G260" s="844" t="str">
        <f>Translations!$B$1830</f>
        <v>Ceuta</v>
      </c>
      <c r="H260" s="844"/>
      <c r="I260" s="844"/>
      <c r="J260" s="420"/>
      <c r="K260" s="420"/>
      <c r="L260" s="420"/>
      <c r="M260" s="420"/>
      <c r="N260" s="420"/>
      <c r="W260" s="104"/>
    </row>
    <row r="261" spans="4:23" ht="12.75" customHeight="1" x14ac:dyDescent="0.25">
      <c r="D261" s="420"/>
      <c r="E261" s="860">
        <v>251</v>
      </c>
      <c r="F261" s="862" t="s">
        <v>473</v>
      </c>
      <c r="G261" s="844" t="str">
        <f>Translations!$B$1831</f>
        <v>United Kingdom (Northern Ireland)</v>
      </c>
      <c r="H261" s="844"/>
      <c r="I261" s="844"/>
      <c r="J261" s="420"/>
      <c r="K261" s="420"/>
      <c r="L261" s="420"/>
      <c r="M261" s="420"/>
      <c r="N261" s="420"/>
      <c r="W261" s="104"/>
    </row>
    <row r="262" spans="4:23" ht="12.75" customHeight="1" x14ac:dyDescent="0.25">
      <c r="D262" s="420"/>
      <c r="E262" s="860">
        <v>252</v>
      </c>
      <c r="F262" s="862" t="s">
        <v>474</v>
      </c>
      <c r="G262" s="844" t="str">
        <f>Translations!$B$1832</f>
        <v>Kosovo</v>
      </c>
      <c r="H262" s="844"/>
      <c r="I262" s="844"/>
      <c r="J262" s="420"/>
      <c r="K262" s="420"/>
      <c r="L262" s="420"/>
      <c r="M262" s="420"/>
      <c r="N262" s="420"/>
      <c r="W262" s="104"/>
    </row>
    <row r="263" spans="4:23" ht="12.75" customHeight="1" x14ac:dyDescent="0.25">
      <c r="D263" s="420"/>
      <c r="E263" s="860">
        <v>253</v>
      </c>
      <c r="F263" s="862" t="s">
        <v>475</v>
      </c>
      <c r="G263" s="844" t="str">
        <f>Translations!$B$1833</f>
        <v>Melilla</v>
      </c>
      <c r="H263" s="844"/>
      <c r="I263" s="844"/>
      <c r="J263" s="420"/>
      <c r="K263" s="420"/>
      <c r="L263" s="420"/>
      <c r="M263" s="420"/>
      <c r="N263" s="420"/>
      <c r="W263" s="104"/>
    </row>
    <row r="264" spans="4:23" ht="12.75" customHeight="1" x14ac:dyDescent="0.25">
      <c r="D264" s="420"/>
      <c r="E264" s="860">
        <v>254</v>
      </c>
      <c r="F264" s="862" t="s">
        <v>476</v>
      </c>
      <c r="G264" s="844" t="str">
        <f>Translations!$B$1706</f>
        <v>Montenegro</v>
      </c>
      <c r="H264" s="844"/>
      <c r="I264" s="844"/>
      <c r="J264" s="420"/>
      <c r="K264" s="420"/>
      <c r="L264" s="420"/>
      <c r="M264" s="420"/>
      <c r="N264" s="420"/>
      <c r="W264" s="104"/>
    </row>
    <row r="265" spans="4:23" ht="12.75" customHeight="1" x14ac:dyDescent="0.25">
      <c r="D265" s="420"/>
      <c r="E265" s="860">
        <v>255</v>
      </c>
      <c r="F265" s="862" t="s">
        <v>477</v>
      </c>
      <c r="G265" s="844" t="str">
        <f>Translations!$B$1834</f>
        <v>Australian Oceania</v>
      </c>
      <c r="H265" s="844"/>
      <c r="I265" s="844"/>
      <c r="J265" s="420"/>
      <c r="K265" s="420"/>
      <c r="L265" s="420"/>
      <c r="M265" s="420"/>
      <c r="N265" s="420"/>
      <c r="W265" s="104"/>
    </row>
    <row r="266" spans="4:23" ht="12.75" customHeight="1" x14ac:dyDescent="0.25">
      <c r="D266" s="420"/>
      <c r="E266" s="860">
        <v>256</v>
      </c>
      <c r="F266" s="862" t="s">
        <v>478</v>
      </c>
      <c r="G266" s="844" t="str">
        <f>Translations!$B$1835</f>
        <v>West Bank and Gaza Strip</v>
      </c>
      <c r="H266" s="844"/>
      <c r="I266" s="844"/>
      <c r="J266" s="420"/>
      <c r="K266" s="420"/>
      <c r="L266" s="420"/>
      <c r="M266" s="420"/>
      <c r="N266" s="420"/>
      <c r="W266" s="104"/>
    </row>
    <row r="267" spans="4:23" ht="12.75" customHeight="1" x14ac:dyDescent="0.25">
      <c r="D267" s="420"/>
      <c r="E267" s="860">
        <v>257</v>
      </c>
      <c r="F267" s="862" t="s">
        <v>479</v>
      </c>
      <c r="G267" s="844" t="str">
        <f>Translations!$B$1836</f>
        <v>Polar regions</v>
      </c>
      <c r="H267" s="844"/>
      <c r="I267" s="844"/>
      <c r="J267" s="420"/>
      <c r="K267" s="420"/>
      <c r="L267" s="420"/>
      <c r="M267" s="420"/>
      <c r="N267" s="420"/>
      <c r="W267" s="104"/>
    </row>
    <row r="268" spans="4:23" ht="12.75" customHeight="1" x14ac:dyDescent="0.25">
      <c r="D268" s="420"/>
      <c r="E268" s="860">
        <v>258</v>
      </c>
      <c r="F268" s="862" t="s">
        <v>480</v>
      </c>
      <c r="G268" s="844" t="str">
        <f>Translations!$B$1776</f>
        <v>Serbia</v>
      </c>
      <c r="H268" s="844"/>
      <c r="I268" s="844"/>
      <c r="J268" s="420"/>
      <c r="K268" s="420"/>
      <c r="L268" s="420"/>
      <c r="M268" s="420"/>
      <c r="N268" s="420"/>
      <c r="W268" s="104"/>
    </row>
    <row r="269" spans="4:23" ht="12.75" customHeight="1" x14ac:dyDescent="0.25">
      <c r="D269" s="420"/>
      <c r="E269" s="860">
        <v>259</v>
      </c>
      <c r="F269" s="862" t="s">
        <v>481</v>
      </c>
      <c r="G269" s="844" t="str">
        <f>Translations!$B$1837</f>
        <v>New Zealand Oceania</v>
      </c>
      <c r="H269" s="844"/>
      <c r="I269" s="844"/>
      <c r="J269" s="420"/>
      <c r="K269" s="420"/>
      <c r="L269" s="420"/>
      <c r="M269" s="420"/>
      <c r="N269" s="420"/>
      <c r="W269" s="104"/>
    </row>
    <row r="270" spans="4:23" ht="12.75" customHeight="1" x14ac:dyDescent="0.25">
      <c r="D270" s="420"/>
      <c r="E270" s="860">
        <v>260</v>
      </c>
      <c r="F270" s="862" t="s">
        <v>482</v>
      </c>
      <c r="G270" s="844" t="str">
        <f>Translations!$B$1838</f>
        <v>Yemen</v>
      </c>
      <c r="H270" s="844"/>
      <c r="I270" s="844"/>
      <c r="J270" s="420"/>
      <c r="K270" s="420"/>
      <c r="L270" s="420"/>
      <c r="M270" s="420"/>
      <c r="N270" s="420"/>
      <c r="W270" s="104"/>
    </row>
    <row r="271" spans="4:23" ht="12.75" customHeight="1" x14ac:dyDescent="0.25">
      <c r="D271" s="420"/>
      <c r="E271" s="860">
        <v>261</v>
      </c>
      <c r="F271" s="862" t="s">
        <v>483</v>
      </c>
      <c r="G271" s="844" t="str">
        <f>Translations!$B$1839</f>
        <v>Mayotte</v>
      </c>
      <c r="H271" s="844"/>
      <c r="I271" s="844"/>
      <c r="J271" s="420"/>
      <c r="K271" s="420"/>
      <c r="L271" s="420"/>
      <c r="M271" s="420"/>
      <c r="N271" s="420"/>
      <c r="W271" s="104"/>
    </row>
    <row r="272" spans="4:23" ht="12.75" customHeight="1" x14ac:dyDescent="0.25">
      <c r="D272" s="420"/>
      <c r="E272" s="860">
        <v>262</v>
      </c>
      <c r="F272" s="862" t="s">
        <v>484</v>
      </c>
      <c r="G272" s="844" t="str">
        <f>Translations!$B$1840</f>
        <v>Federal Republic of Yugoslavia</v>
      </c>
      <c r="H272" s="844"/>
      <c r="I272" s="844"/>
      <c r="J272" s="420"/>
      <c r="K272" s="420"/>
      <c r="L272" s="420"/>
      <c r="M272" s="420"/>
      <c r="N272" s="420"/>
      <c r="W272" s="104"/>
    </row>
    <row r="273" spans="1:23" ht="12.75" customHeight="1" x14ac:dyDescent="0.25">
      <c r="D273" s="420"/>
      <c r="E273" s="860">
        <v>263</v>
      </c>
      <c r="F273" s="862" t="s">
        <v>485</v>
      </c>
      <c r="G273" s="844" t="str">
        <f>Translations!$B$1841</f>
        <v>South Africa</v>
      </c>
      <c r="H273" s="844"/>
      <c r="I273" s="844"/>
      <c r="J273" s="420"/>
      <c r="K273" s="420"/>
      <c r="L273" s="420"/>
      <c r="M273" s="420"/>
      <c r="N273" s="420"/>
      <c r="W273" s="104"/>
    </row>
    <row r="274" spans="1:23" ht="12.75" customHeight="1" x14ac:dyDescent="0.25">
      <c r="D274" s="420"/>
      <c r="E274" s="860">
        <v>264</v>
      </c>
      <c r="F274" s="862" t="s">
        <v>486</v>
      </c>
      <c r="G274" s="844" t="str">
        <f>Translations!$B$1842</f>
        <v>Zambia</v>
      </c>
      <c r="H274" s="844"/>
      <c r="I274" s="844"/>
      <c r="J274" s="420"/>
      <c r="K274" s="420"/>
      <c r="L274" s="420"/>
      <c r="M274" s="420"/>
      <c r="N274" s="420"/>
      <c r="W274" s="104"/>
    </row>
    <row r="275" spans="1:23" ht="12.75" customHeight="1" x14ac:dyDescent="0.25">
      <c r="D275" s="420"/>
      <c r="E275" s="860">
        <v>265</v>
      </c>
      <c r="F275" s="862" t="s">
        <v>487</v>
      </c>
      <c r="G275" s="844" t="str">
        <f>Translations!$B$1843</f>
        <v>Zaire</v>
      </c>
      <c r="H275" s="844"/>
      <c r="I275" s="844"/>
      <c r="J275" s="420"/>
      <c r="K275" s="420"/>
      <c r="L275" s="420"/>
      <c r="M275" s="420"/>
      <c r="N275" s="420"/>
      <c r="W275" s="104"/>
    </row>
    <row r="276" spans="1:23" ht="12.75" customHeight="1" x14ac:dyDescent="0.25">
      <c r="D276" s="420"/>
      <c r="E276" s="860">
        <v>266</v>
      </c>
      <c r="F276" s="863" t="s">
        <v>488</v>
      </c>
      <c r="G276" s="846" t="str">
        <f>Translations!$B$1844</f>
        <v>Zimbabwe</v>
      </c>
      <c r="H276" s="846"/>
      <c r="I276" s="846"/>
      <c r="J276" s="420"/>
      <c r="K276" s="420"/>
      <c r="L276" s="420"/>
      <c r="M276" s="420"/>
      <c r="N276" s="420"/>
      <c r="W276" s="104"/>
    </row>
    <row r="277" spans="1:23" ht="12.75" customHeight="1" x14ac:dyDescent="0.25">
      <c r="D277" s="420"/>
      <c r="E277" s="420"/>
      <c r="F277" s="420"/>
      <c r="G277" s="420"/>
      <c r="H277" s="420"/>
      <c r="I277" s="420"/>
      <c r="J277" s="420"/>
      <c r="K277" s="420"/>
      <c r="L277" s="420"/>
      <c r="M277" s="420"/>
      <c r="N277" s="420"/>
      <c r="W277" s="104"/>
    </row>
    <row r="278" spans="1:23" ht="12.75" customHeight="1" x14ac:dyDescent="0.25">
      <c r="W278" s="104"/>
    </row>
    <row r="279" spans="1:23" ht="18" customHeight="1" x14ac:dyDescent="0.25">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x14ac:dyDescent="0.2">
      <c r="D280" s="103"/>
      <c r="E280" s="113"/>
      <c r="F280" s="113"/>
      <c r="G280" s="113"/>
      <c r="H280" s="113"/>
      <c r="I280" s="113"/>
      <c r="J280" s="113"/>
      <c r="K280" s="113"/>
      <c r="L280" s="113"/>
      <c r="M280" s="113"/>
      <c r="S280" s="112"/>
    </row>
    <row r="281" spans="1:23" ht="5.0999999999999996" customHeight="1" x14ac:dyDescent="0.2">
      <c r="D281" s="508"/>
      <c r="E281" s="509"/>
      <c r="F281" s="509"/>
      <c r="G281" s="509"/>
      <c r="H281" s="509"/>
      <c r="I281" s="509"/>
      <c r="J281" s="509"/>
      <c r="K281" s="509"/>
      <c r="L281" s="509"/>
      <c r="M281" s="509"/>
      <c r="N281" s="510"/>
      <c r="S281" s="112"/>
    </row>
    <row r="282" spans="1:23" ht="12.75" customHeight="1" x14ac:dyDescent="0.2">
      <c r="C282" s="24"/>
      <c r="D282" s="368"/>
      <c r="E282" s="1107" t="str">
        <f>Translations!$B$1846</f>
        <v>The list below shows the CN codes and corresponding names of all CBAM goods and the aggregated goods category to which the CN code pertains.</v>
      </c>
      <c r="F282" s="1108"/>
      <c r="G282" s="1108"/>
      <c r="H282" s="1108"/>
      <c r="I282" s="1108"/>
      <c r="J282" s="1108"/>
      <c r="K282" s="1108"/>
      <c r="L282" s="1108"/>
      <c r="M282" s="1108"/>
      <c r="N282" s="1108"/>
    </row>
    <row r="283" spans="1:23" ht="12.75" customHeight="1" x14ac:dyDescent="0.2">
      <c r="C283" s="24"/>
      <c r="D283" s="368"/>
      <c r="E283" s="1107" t="str">
        <f>Translations!$B$1847</f>
        <v xml:space="preserve">CN codes for products that are not listed here do currently not fall under the CBAM. </v>
      </c>
      <c r="F283" s="1108"/>
      <c r="G283" s="1108"/>
      <c r="H283" s="1108"/>
      <c r="I283" s="1108"/>
      <c r="J283" s="1108"/>
      <c r="K283" s="1108"/>
      <c r="L283" s="1108"/>
      <c r="M283" s="1108"/>
      <c r="N283" s="1108"/>
    </row>
    <row r="284" spans="1:23" ht="5.0999999999999996" customHeight="1" x14ac:dyDescent="0.2">
      <c r="D284" s="508"/>
      <c r="E284" s="509"/>
      <c r="F284" s="509"/>
      <c r="G284" s="509"/>
      <c r="H284" s="509"/>
      <c r="I284" s="509"/>
      <c r="J284" s="509"/>
      <c r="K284" s="509"/>
      <c r="L284" s="509"/>
      <c r="M284" s="509"/>
      <c r="N284" s="510"/>
      <c r="S284" s="112"/>
    </row>
    <row r="285" spans="1:23" ht="5.0999999999999996" customHeight="1" x14ac:dyDescent="0.2">
      <c r="D285" s="103"/>
      <c r="E285" s="113"/>
      <c r="F285" s="113"/>
      <c r="G285" s="113"/>
      <c r="H285" s="113"/>
      <c r="I285" s="113"/>
      <c r="J285" s="113"/>
      <c r="K285" s="113"/>
      <c r="L285" s="113"/>
      <c r="M285" s="113"/>
      <c r="S285" s="112"/>
    </row>
    <row r="286" spans="1:23" ht="12.75" customHeight="1" x14ac:dyDescent="0.25">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x14ac:dyDescent="0.2">
      <c r="E287" s="841" t="s">
        <v>489</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x14ac:dyDescent="0.2">
      <c r="E288" s="843" t="s">
        <v>490</v>
      </c>
      <c r="F288" s="843" t="str">
        <f>Translations!$B$695</f>
        <v>Cement clinkers</v>
      </c>
      <c r="G288" s="844"/>
      <c r="H288" s="844"/>
      <c r="I288" s="844"/>
      <c r="J288" s="844"/>
      <c r="K288" s="844"/>
      <c r="L288" s="844"/>
      <c r="M288" s="847" t="str">
        <f>Translations!$B$665</f>
        <v>Cement clinker</v>
      </c>
      <c r="N288" s="688"/>
    </row>
    <row r="289" spans="5:14" ht="12.75" customHeight="1" x14ac:dyDescent="0.2">
      <c r="E289" s="843" t="s">
        <v>491</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x14ac:dyDescent="0.2">
      <c r="E290" s="843" t="s">
        <v>492</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x14ac:dyDescent="0.2">
      <c r="E291" s="843" t="s">
        <v>493</v>
      </c>
      <c r="F291" s="843" t="str">
        <f>Translations!$B$667</f>
        <v>Aluminous cement</v>
      </c>
      <c r="G291" s="844"/>
      <c r="H291" s="844"/>
      <c r="I291" s="844"/>
      <c r="J291" s="844"/>
      <c r="K291" s="844"/>
      <c r="L291" s="844"/>
      <c r="M291" s="847" t="str">
        <f>Translations!$B$667</f>
        <v>Aluminous cement</v>
      </c>
      <c r="N291" s="688"/>
    </row>
    <row r="292" spans="5:14" ht="12.75" customHeight="1" x14ac:dyDescent="0.2">
      <c r="E292" s="843" t="s">
        <v>494</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x14ac:dyDescent="0.2">
      <c r="E293" s="843" t="s">
        <v>495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x14ac:dyDescent="0.2">
      <c r="E294" s="843" t="s">
        <v>496</v>
      </c>
      <c r="F294" s="843" t="str">
        <f>Translations!$B$700</f>
        <v>Electrical energy</v>
      </c>
      <c r="G294" s="844"/>
      <c r="H294" s="844"/>
      <c r="I294" s="844"/>
      <c r="J294" s="844"/>
      <c r="K294" s="844"/>
      <c r="L294" s="844"/>
      <c r="M294" s="847" t="str">
        <f>Translations!$B$692</f>
        <v>Electricity (export to EU)</v>
      </c>
      <c r="N294" s="688"/>
    </row>
    <row r="295" spans="5:14" ht="12.75" customHeight="1" x14ac:dyDescent="0.2">
      <c r="E295" s="843" t="s">
        <v>497</v>
      </c>
      <c r="F295" s="843" t="str">
        <f>Translations!$B$650</f>
        <v>Hydrogen</v>
      </c>
      <c r="G295" s="844"/>
      <c r="H295" s="844"/>
      <c r="I295" s="844"/>
      <c r="J295" s="844"/>
      <c r="K295" s="844"/>
      <c r="L295" s="844"/>
      <c r="M295" s="847" t="str">
        <f>Translations!$B$650</f>
        <v>Hydrogen</v>
      </c>
      <c r="N295" s="688"/>
    </row>
    <row r="296" spans="5:14" ht="12.75" customHeight="1" x14ac:dyDescent="0.2">
      <c r="E296" s="843" t="s">
        <v>498</v>
      </c>
      <c r="F296" s="843" t="str">
        <f>Translations!$B$701</f>
        <v>Nitric acid; sulphonitric acids</v>
      </c>
      <c r="G296" s="844"/>
      <c r="H296" s="844"/>
      <c r="I296" s="844"/>
      <c r="J296" s="844"/>
      <c r="K296" s="844"/>
      <c r="L296" s="844"/>
      <c r="M296" s="847" t="str">
        <f>Translations!$B$685</f>
        <v>Nitric acid</v>
      </c>
      <c r="N296" s="688"/>
    </row>
    <row r="297" spans="5:14" ht="12.75" customHeight="1" x14ac:dyDescent="0.2">
      <c r="E297" s="843" t="s">
        <v>499</v>
      </c>
      <c r="F297" s="843" t="str">
        <f>Translations!$B$702</f>
        <v>Ammonia, anhydrous or in aqueous solution</v>
      </c>
      <c r="G297" s="844"/>
      <c r="H297" s="844"/>
      <c r="I297" s="844"/>
      <c r="J297" s="844"/>
      <c r="K297" s="844"/>
      <c r="L297" s="844"/>
      <c r="M297" s="847" t="str">
        <f>Translations!$B$682</f>
        <v>Ammonia</v>
      </c>
      <c r="N297" s="688"/>
    </row>
    <row r="298" spans="5:14" ht="12.75" customHeight="1" x14ac:dyDescent="0.2">
      <c r="E298" s="843" t="s">
        <v>500</v>
      </c>
      <c r="F298" s="843" t="str">
        <f>Translations!$B$703</f>
        <v>Anhydrous ammonia</v>
      </c>
      <c r="G298" s="844"/>
      <c r="H298" s="844"/>
      <c r="I298" s="844"/>
      <c r="J298" s="844"/>
      <c r="K298" s="844"/>
      <c r="L298" s="844"/>
      <c r="M298" s="847" t="str">
        <f>Translations!$B$682</f>
        <v>Ammonia</v>
      </c>
      <c r="N298" s="688"/>
    </row>
    <row r="299" spans="5:14" ht="12.75" customHeight="1" x14ac:dyDescent="0.2">
      <c r="E299" s="843" t="s">
        <v>501</v>
      </c>
      <c r="F299" s="843" t="str">
        <f>Translations!$B$704</f>
        <v>Ammonia in aqueous solution</v>
      </c>
      <c r="G299" s="844"/>
      <c r="H299" s="844"/>
      <c r="I299" s="844"/>
      <c r="J299" s="844"/>
      <c r="K299" s="844"/>
      <c r="L299" s="844"/>
      <c r="M299" s="847" t="str">
        <f>Translations!$B$682</f>
        <v>Ammonia</v>
      </c>
      <c r="N299" s="688"/>
    </row>
    <row r="300" spans="5:14" ht="12.75" customHeight="1" x14ac:dyDescent="0.2">
      <c r="E300" s="843" t="s">
        <v>502</v>
      </c>
      <c r="F300" s="843" t="str">
        <f>Translations!$B$705</f>
        <v>Nitrate of potassium</v>
      </c>
      <c r="G300" s="844"/>
      <c r="H300" s="844"/>
      <c r="I300" s="844"/>
      <c r="J300" s="844"/>
      <c r="K300" s="844"/>
      <c r="L300" s="844"/>
      <c r="M300" s="847" t="str">
        <f>Translations!$B$687</f>
        <v>Mixed fertilizers</v>
      </c>
      <c r="N300" s="688"/>
    </row>
    <row r="301" spans="5:14" ht="12.75" customHeight="1" x14ac:dyDescent="0.2">
      <c r="E301" s="843" t="s">
        <v>503</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x14ac:dyDescent="0.2">
      <c r="E302" s="843" t="s">
        <v>504</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x14ac:dyDescent="0.2">
      <c r="E303" s="843" t="s">
        <v>505</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x14ac:dyDescent="0.2">
      <c r="E304" s="843" t="s">
        <v>506</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x14ac:dyDescent="0.2">
      <c r="E305" s="843" t="s">
        <v>507</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x14ac:dyDescent="0.2">
      <c r="E306" s="843" t="s">
        <v>508</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x14ac:dyDescent="0.2">
      <c r="E307" s="843" t="s">
        <v>509</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x14ac:dyDescent="0.2">
      <c r="E308" s="843" t="s">
        <v>510</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x14ac:dyDescent="0.2">
      <c r="E309" s="843" t="s">
        <v>511</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x14ac:dyDescent="0.2">
      <c r="E310" s="843" t="s">
        <v>512</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x14ac:dyDescent="0.2">
      <c r="E311" s="843" t="s">
        <v>513</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x14ac:dyDescent="0.2">
      <c r="E312" s="843" t="s">
        <v>514</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x14ac:dyDescent="0.2">
      <c r="E313" s="843" t="s">
        <v>515</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x14ac:dyDescent="0.2">
      <c r="E314" s="843" t="s">
        <v>516</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x14ac:dyDescent="0.2">
      <c r="E315" s="843" t="s">
        <v>517</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x14ac:dyDescent="0.2">
      <c r="E316" s="843" t="s">
        <v>518</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x14ac:dyDescent="0.2">
      <c r="E317" s="843" t="s">
        <v>519</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x14ac:dyDescent="0.2">
      <c r="E318" s="843" t="s">
        <v>520</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x14ac:dyDescent="0.2">
      <c r="E319" s="843" t="s">
        <v>521</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x14ac:dyDescent="0.2">
      <c r="E320" s="843" t="s">
        <v>522</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x14ac:dyDescent="0.2">
      <c r="E321" s="843" t="s">
        <v>523</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x14ac:dyDescent="0.2">
      <c r="E322" s="843" t="s">
        <v>524</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x14ac:dyDescent="0.2">
      <c r="E323" s="843" t="s">
        <v>525</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x14ac:dyDescent="0.2">
      <c r="E324" s="843" t="s">
        <v>526</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x14ac:dyDescent="0.2">
      <c r="E325" s="843" t="s">
        <v>527</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x14ac:dyDescent="0.2">
      <c r="E326" s="843" t="s">
        <v>528</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x14ac:dyDescent="0.2">
      <c r="E327" s="843" t="s">
        <v>529</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x14ac:dyDescent="0.2">
      <c r="E328" s="843" t="s">
        <v>530</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x14ac:dyDescent="0.2">
      <c r="E329" s="843" t="s">
        <v>531</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x14ac:dyDescent="0.2">
      <c r="E330" s="843" t="s">
        <v>532</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x14ac:dyDescent="0.2">
      <c r="E331" s="843" t="s">
        <v>533</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x14ac:dyDescent="0.2">
      <c r="E332" s="843" t="s">
        <v>534</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x14ac:dyDescent="0.2">
      <c r="E333" s="843" t="s">
        <v>535</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x14ac:dyDescent="0.2">
      <c r="E334" s="843" t="s">
        <v>536</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x14ac:dyDescent="0.2">
      <c r="E335" s="843" t="s">
        <v>537</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x14ac:dyDescent="0.2">
      <c r="E336" s="843" t="s">
        <v>538</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x14ac:dyDescent="0.2">
      <c r="E337" s="843" t="s">
        <v>539</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x14ac:dyDescent="0.2">
      <c r="E338" s="843" t="s">
        <v>540</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x14ac:dyDescent="0.2">
      <c r="E339" s="843" t="s">
        <v>541</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x14ac:dyDescent="0.2">
      <c r="E340" s="843" t="s">
        <v>542</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x14ac:dyDescent="0.2">
      <c r="E341" s="843" t="s">
        <v>543</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x14ac:dyDescent="0.2">
      <c r="E342" s="843" t="s">
        <v>544</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x14ac:dyDescent="0.2">
      <c r="E343" s="843" t="s">
        <v>545</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x14ac:dyDescent="0.2">
      <c r="E344" s="843" t="s">
        <v>546</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x14ac:dyDescent="0.2">
      <c r="E345" s="843" t="s">
        <v>547</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x14ac:dyDescent="0.2">
      <c r="E346" s="843" t="s">
        <v>548</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x14ac:dyDescent="0.2">
      <c r="E347" s="843" t="s">
        <v>549</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x14ac:dyDescent="0.2">
      <c r="E348" s="843" t="s">
        <v>550</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x14ac:dyDescent="0.2">
      <c r="E349" s="843" t="s">
        <v>551</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x14ac:dyDescent="0.2">
      <c r="E350" s="843" t="s">
        <v>552</v>
      </c>
      <c r="F350" s="843" t="str">
        <f>Translations!$B$755</f>
        <v>Ferro-nickel</v>
      </c>
      <c r="G350" s="844"/>
      <c r="H350" s="844"/>
      <c r="I350" s="844"/>
      <c r="J350" s="844"/>
      <c r="K350" s="844"/>
      <c r="L350" s="844"/>
      <c r="M350" s="847" t="str">
        <f>Translations!$B$677</f>
        <v>Alloys (FeMn, FeCr, FeNi)</v>
      </c>
      <c r="N350" s="688"/>
    </row>
    <row r="351" spans="5:14" ht="12.75" customHeight="1" x14ac:dyDescent="0.2">
      <c r="E351" s="843" t="s">
        <v>553</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x14ac:dyDescent="0.2">
      <c r="E352" s="843" t="s">
        <v>554</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x14ac:dyDescent="0.2">
      <c r="E353" s="843" t="s">
        <v>555</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x14ac:dyDescent="0.2">
      <c r="E354" s="843" t="s">
        <v>556</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x14ac:dyDescent="0.2">
      <c r="E355" s="843" t="s">
        <v>557</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x14ac:dyDescent="0.2">
      <c r="E356" s="843" t="s">
        <v>558</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x14ac:dyDescent="0.2">
      <c r="E357" s="843" t="s">
        <v>559</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x14ac:dyDescent="0.2">
      <c r="E358" s="843" t="s">
        <v>560</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x14ac:dyDescent="0.2">
      <c r="E359" s="843" t="s">
        <v>561</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x14ac:dyDescent="0.2">
      <c r="E360" s="843" t="s">
        <v>562</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x14ac:dyDescent="0.2">
      <c r="E361" s="843" t="s">
        <v>563</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x14ac:dyDescent="0.2">
      <c r="E362" s="843" t="s">
        <v>564</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x14ac:dyDescent="0.2">
      <c r="E363" s="843" t="s">
        <v>565</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x14ac:dyDescent="0.2">
      <c r="E364" s="843" t="s">
        <v>566</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x14ac:dyDescent="0.2">
      <c r="E365" s="843" t="s">
        <v>567</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x14ac:dyDescent="0.2">
      <c r="E366" s="843" t="s">
        <v>568</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x14ac:dyDescent="0.2">
      <c r="E367" s="843" t="s">
        <v>569</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x14ac:dyDescent="0.2">
      <c r="E368" s="843" t="s">
        <v>570</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x14ac:dyDescent="0.2">
      <c r="E369" s="843" t="s">
        <v>571</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x14ac:dyDescent="0.2">
      <c r="E370" s="843" t="s">
        <v>572</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x14ac:dyDescent="0.2">
      <c r="E371" s="843" t="s">
        <v>573</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x14ac:dyDescent="0.2">
      <c r="E372" s="843" t="s">
        <v>574</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x14ac:dyDescent="0.2">
      <c r="E373" s="843" t="s">
        <v>575</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x14ac:dyDescent="0.2">
      <c r="E374" s="843" t="s">
        <v>576</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x14ac:dyDescent="0.2">
      <c r="E375" s="843" t="s">
        <v>577</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x14ac:dyDescent="0.2">
      <c r="E376" s="843" t="s">
        <v>578</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x14ac:dyDescent="0.2">
      <c r="E377" s="843" t="s">
        <v>579</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x14ac:dyDescent="0.2">
      <c r="E378" s="843" t="s">
        <v>580</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x14ac:dyDescent="0.2">
      <c r="E379" s="843" t="s">
        <v>581</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x14ac:dyDescent="0.2">
      <c r="E380" s="843" t="s">
        <v>582</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x14ac:dyDescent="0.2">
      <c r="E381" s="843" t="s">
        <v>583</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x14ac:dyDescent="0.2">
      <c r="E382" s="843" t="s">
        <v>584</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x14ac:dyDescent="0.2">
      <c r="E383" s="843" t="s">
        <v>585</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x14ac:dyDescent="0.2">
      <c r="E384" s="843" t="s">
        <v>586</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x14ac:dyDescent="0.2">
      <c r="E385" s="843" t="s">
        <v>587</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x14ac:dyDescent="0.2">
      <c r="E386" s="843" t="s">
        <v>588</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x14ac:dyDescent="0.2">
      <c r="E387" s="843" t="s">
        <v>589</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x14ac:dyDescent="0.2">
      <c r="E388" s="843" t="s">
        <v>590</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x14ac:dyDescent="0.2">
      <c r="E389" s="843" t="s">
        <v>591</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x14ac:dyDescent="0.2">
      <c r="E390" s="843" t="s">
        <v>592</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x14ac:dyDescent="0.2">
      <c r="E391" s="843" t="s">
        <v>593</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x14ac:dyDescent="0.2">
      <c r="E392" s="843" t="s">
        <v>594</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x14ac:dyDescent="0.2">
      <c r="E393" s="843" t="s">
        <v>595</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x14ac:dyDescent="0.2">
      <c r="E394" s="843" t="s">
        <v>596</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x14ac:dyDescent="0.2">
      <c r="E395" s="843" t="s">
        <v>597</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x14ac:dyDescent="0.2">
      <c r="E396" s="843" t="s">
        <v>598</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x14ac:dyDescent="0.2">
      <c r="E397" s="843" t="s">
        <v>599</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x14ac:dyDescent="0.2">
      <c r="E398" s="843" t="s">
        <v>600</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x14ac:dyDescent="0.2">
      <c r="E399" s="843" t="s">
        <v>601</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x14ac:dyDescent="0.2">
      <c r="E400" s="843" t="s">
        <v>602</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x14ac:dyDescent="0.2">
      <c r="E401" s="843" t="s">
        <v>603</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x14ac:dyDescent="0.2">
      <c r="E402" s="843" t="s">
        <v>604</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x14ac:dyDescent="0.2">
      <c r="E403" s="843" t="s">
        <v>605</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x14ac:dyDescent="0.2">
      <c r="E404" s="843" t="s">
        <v>606</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x14ac:dyDescent="0.2">
      <c r="E405" s="843" t="s">
        <v>607</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x14ac:dyDescent="0.2">
      <c r="E406" s="843" t="s">
        <v>608</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x14ac:dyDescent="0.2">
      <c r="E407" s="843" t="s">
        <v>609</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x14ac:dyDescent="0.2">
      <c r="E408" s="843" t="s">
        <v>610</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x14ac:dyDescent="0.2">
      <c r="E409" s="843" t="s">
        <v>611</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x14ac:dyDescent="0.2">
      <c r="E410" s="843" t="s">
        <v>612</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x14ac:dyDescent="0.2">
      <c r="E411" s="843" t="s">
        <v>613</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x14ac:dyDescent="0.2">
      <c r="E412" s="843" t="s">
        <v>614</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x14ac:dyDescent="0.2">
      <c r="E413" s="843" t="s">
        <v>615</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x14ac:dyDescent="0.2">
      <c r="E414" s="843" t="s">
        <v>616</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x14ac:dyDescent="0.2">
      <c r="E415" s="843" t="s">
        <v>617</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x14ac:dyDescent="0.2">
      <c r="E416" s="843" t="s">
        <v>618</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x14ac:dyDescent="0.2">
      <c r="E417" s="843" t="s">
        <v>619</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x14ac:dyDescent="0.2">
      <c r="E418" s="843" t="s">
        <v>620</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x14ac:dyDescent="0.2">
      <c r="E419" s="843" t="s">
        <v>621</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x14ac:dyDescent="0.2">
      <c r="E420" s="843" t="s">
        <v>622</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x14ac:dyDescent="0.2">
      <c r="E421" s="843" t="s">
        <v>623</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x14ac:dyDescent="0.2">
      <c r="E422" s="843" t="s">
        <v>624</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x14ac:dyDescent="0.2">
      <c r="E423" s="843" t="s">
        <v>625</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x14ac:dyDescent="0.2">
      <c r="E424" s="843" t="s">
        <v>626</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x14ac:dyDescent="0.2">
      <c r="E425" s="843" t="s">
        <v>627</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x14ac:dyDescent="0.2">
      <c r="E426" s="843" t="s">
        <v>628</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x14ac:dyDescent="0.2">
      <c r="E427" s="843" t="s">
        <v>629</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x14ac:dyDescent="0.2">
      <c r="E428" s="843" t="s">
        <v>630</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x14ac:dyDescent="0.2">
      <c r="E429" s="843" t="s">
        <v>631</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x14ac:dyDescent="0.2">
      <c r="E430" s="843" t="s">
        <v>632</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x14ac:dyDescent="0.2">
      <c r="E431" s="843" t="s">
        <v>633</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x14ac:dyDescent="0.2">
      <c r="E432" s="843" t="s">
        <v>634</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x14ac:dyDescent="0.2">
      <c r="E433" s="843" t="s">
        <v>635</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x14ac:dyDescent="0.2">
      <c r="E434" s="843" t="s">
        <v>636</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x14ac:dyDescent="0.2">
      <c r="E435" s="843" t="s">
        <v>637</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x14ac:dyDescent="0.2">
      <c r="E436" s="843" t="s">
        <v>638</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x14ac:dyDescent="0.2">
      <c r="E437" s="843" t="s">
        <v>639</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x14ac:dyDescent="0.2">
      <c r="E438" s="843" t="s">
        <v>640</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x14ac:dyDescent="0.2">
      <c r="E439" s="843" t="s">
        <v>641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x14ac:dyDescent="0.2">
      <c r="E440" s="843" t="s">
        <v>642</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x14ac:dyDescent="0.2">
      <c r="E441" s="843" t="s">
        <v>643</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x14ac:dyDescent="0.2">
      <c r="E442" s="843" t="s">
        <v>644</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x14ac:dyDescent="0.2">
      <c r="E443" s="843" t="s">
        <v>645</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x14ac:dyDescent="0.2">
      <c r="E444" s="843" t="s">
        <v>646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x14ac:dyDescent="0.2">
      <c r="E445" s="843" t="s">
        <v>647</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x14ac:dyDescent="0.2">
      <c r="E446" s="843" t="s">
        <v>648</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x14ac:dyDescent="0.2">
      <c r="E447" s="843" t="s">
        <v>649</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x14ac:dyDescent="0.2">
      <c r="E448" s="843" t="s">
        <v>650</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x14ac:dyDescent="0.2">
      <c r="E449" s="843" t="s">
        <v>651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x14ac:dyDescent="0.2">
      <c r="E450" s="843" t="s">
        <v>652</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x14ac:dyDescent="0.2">
      <c r="E451" s="843" t="s">
        <v>653</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x14ac:dyDescent="0.2">
      <c r="E452" s="843" t="s">
        <v>654</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x14ac:dyDescent="0.2">
      <c r="E453" s="843" t="s">
        <v>655</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x14ac:dyDescent="0.2">
      <c r="E454" s="843" t="s">
        <v>656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x14ac:dyDescent="0.2">
      <c r="E455" s="843" t="s">
        <v>657</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x14ac:dyDescent="0.2">
      <c r="E456" s="843" t="s">
        <v>658</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x14ac:dyDescent="0.2">
      <c r="E457" s="843" t="s">
        <v>659</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x14ac:dyDescent="0.2">
      <c r="E458" s="843" t="s">
        <v>660</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x14ac:dyDescent="0.2">
      <c r="E459" s="843" t="s">
        <v>661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x14ac:dyDescent="0.2">
      <c r="E460" s="843" t="s">
        <v>662</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x14ac:dyDescent="0.2">
      <c r="E461" s="843" t="s">
        <v>663</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x14ac:dyDescent="0.2">
      <c r="E462" s="843" t="s">
        <v>664</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x14ac:dyDescent="0.2">
      <c r="E463" s="843" t="s">
        <v>665</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x14ac:dyDescent="0.2">
      <c r="E464" s="843" t="s">
        <v>666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x14ac:dyDescent="0.2">
      <c r="E465" s="843" t="s">
        <v>667</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x14ac:dyDescent="0.2">
      <c r="E466" s="843" t="s">
        <v>668</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x14ac:dyDescent="0.2">
      <c r="E467" s="843" t="s">
        <v>669</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x14ac:dyDescent="0.2">
      <c r="E468" s="843" t="s">
        <v>670</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x14ac:dyDescent="0.2">
      <c r="E469" s="843" t="s">
        <v>671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x14ac:dyDescent="0.2">
      <c r="E470" s="843" t="s">
        <v>672</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x14ac:dyDescent="0.2">
      <c r="E471" s="843" t="s">
        <v>673</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x14ac:dyDescent="0.2">
      <c r="E472" s="843" t="s">
        <v>674</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x14ac:dyDescent="0.2">
      <c r="E473" s="843" t="s">
        <v>675</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x14ac:dyDescent="0.2">
      <c r="E474" s="843" t="s">
        <v>676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x14ac:dyDescent="0.2">
      <c r="E475" s="843" t="s">
        <v>677</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x14ac:dyDescent="0.2">
      <c r="E476" s="843" t="s">
        <v>678</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x14ac:dyDescent="0.2">
      <c r="E477" s="843" t="s">
        <v>679</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x14ac:dyDescent="0.2">
      <c r="E478" s="843" t="s">
        <v>680</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x14ac:dyDescent="0.2">
      <c r="E479" s="843" t="s">
        <v>681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x14ac:dyDescent="0.2">
      <c r="E480" s="843" t="s">
        <v>682</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x14ac:dyDescent="0.2">
      <c r="E481" s="843" t="s">
        <v>683</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x14ac:dyDescent="0.2">
      <c r="E482" s="843" t="s">
        <v>684</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x14ac:dyDescent="0.2">
      <c r="E483" s="843" t="s">
        <v>685</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x14ac:dyDescent="0.2">
      <c r="E484" s="843" t="s">
        <v>686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x14ac:dyDescent="0.2">
      <c r="E485" s="843" t="s">
        <v>687</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x14ac:dyDescent="0.2">
      <c r="E486" s="843" t="s">
        <v>688</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x14ac:dyDescent="0.2">
      <c r="E487" s="843" t="s">
        <v>689</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x14ac:dyDescent="0.2">
      <c r="E488" s="843" t="s">
        <v>690</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x14ac:dyDescent="0.2">
      <c r="E489" s="843" t="s">
        <v>691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x14ac:dyDescent="0.2">
      <c r="E490" s="843" t="s">
        <v>692</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x14ac:dyDescent="0.2">
      <c r="E491" s="843" t="s">
        <v>693</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x14ac:dyDescent="0.2">
      <c r="E492" s="843" t="s">
        <v>694</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x14ac:dyDescent="0.2">
      <c r="E493" s="843" t="s">
        <v>695</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x14ac:dyDescent="0.2">
      <c r="E494" s="843" t="s">
        <v>696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x14ac:dyDescent="0.2">
      <c r="E495" s="843" t="s">
        <v>697</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x14ac:dyDescent="0.2">
      <c r="E496" s="843" t="s">
        <v>698</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x14ac:dyDescent="0.2">
      <c r="E497" s="843" t="s">
        <v>699</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x14ac:dyDescent="0.2">
      <c r="E498" s="843" t="s">
        <v>700</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x14ac:dyDescent="0.2">
      <c r="E499" s="843" t="s">
        <v>701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x14ac:dyDescent="0.2">
      <c r="E500" s="843" t="s">
        <v>702</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x14ac:dyDescent="0.2">
      <c r="E501" s="843" t="s">
        <v>703</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x14ac:dyDescent="0.2">
      <c r="E502" s="843" t="s">
        <v>704</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x14ac:dyDescent="0.2">
      <c r="E503" s="843" t="s">
        <v>705</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x14ac:dyDescent="0.2">
      <c r="E504" s="843" t="s">
        <v>706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x14ac:dyDescent="0.2">
      <c r="E505" s="843" t="s">
        <v>707</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x14ac:dyDescent="0.2">
      <c r="E506" s="843" t="s">
        <v>708</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x14ac:dyDescent="0.2">
      <c r="E507" s="843" t="s">
        <v>709</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x14ac:dyDescent="0.2">
      <c r="E508" s="843" t="s">
        <v>710</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x14ac:dyDescent="0.2">
      <c r="E509" s="843" t="s">
        <v>711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x14ac:dyDescent="0.2">
      <c r="E510" s="843" t="s">
        <v>712</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x14ac:dyDescent="0.2">
      <c r="E511" s="843" t="s">
        <v>713</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x14ac:dyDescent="0.2">
      <c r="E512" s="843" t="s">
        <v>714</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x14ac:dyDescent="0.2">
      <c r="E513" s="843" t="s">
        <v>715</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x14ac:dyDescent="0.2">
      <c r="E514" s="843" t="s">
        <v>716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x14ac:dyDescent="0.2">
      <c r="E515" s="843" t="s">
        <v>717</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x14ac:dyDescent="0.2">
      <c r="E516" s="843" t="s">
        <v>718</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x14ac:dyDescent="0.2">
      <c r="E517" s="843" t="s">
        <v>719</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x14ac:dyDescent="0.2">
      <c r="E518" s="843" t="s">
        <v>720</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x14ac:dyDescent="0.2">
      <c r="E519" s="843" t="s">
        <v>721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x14ac:dyDescent="0.2">
      <c r="E520" s="843" t="s">
        <v>722</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x14ac:dyDescent="0.2">
      <c r="E521" s="843" t="s">
        <v>723</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x14ac:dyDescent="0.2">
      <c r="E522" s="843" t="s">
        <v>724</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x14ac:dyDescent="0.2">
      <c r="E523" s="843" t="s">
        <v>725</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x14ac:dyDescent="0.2">
      <c r="E524" s="843" t="s">
        <v>726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x14ac:dyDescent="0.2">
      <c r="E525" s="843" t="s">
        <v>727</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x14ac:dyDescent="0.2">
      <c r="E526" s="843" t="s">
        <v>728</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x14ac:dyDescent="0.2">
      <c r="E527" s="843" t="s">
        <v>729</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x14ac:dyDescent="0.2">
      <c r="E528" s="843" t="s">
        <v>730</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x14ac:dyDescent="0.2">
      <c r="E529" s="843" t="s">
        <v>731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x14ac:dyDescent="0.2">
      <c r="E530" s="843" t="s">
        <v>732</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x14ac:dyDescent="0.2">
      <c r="E531" s="843" t="s">
        <v>733</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x14ac:dyDescent="0.2">
      <c r="E532" s="843" t="s">
        <v>734</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x14ac:dyDescent="0.2">
      <c r="E533" s="843" t="s">
        <v>735</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x14ac:dyDescent="0.2">
      <c r="E534" s="843" t="s">
        <v>736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x14ac:dyDescent="0.2">
      <c r="E535" s="843" t="s">
        <v>737</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x14ac:dyDescent="0.2">
      <c r="E536" s="843" t="s">
        <v>738</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x14ac:dyDescent="0.2">
      <c r="E537" s="843" t="s">
        <v>739</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x14ac:dyDescent="0.2">
      <c r="E538" s="843" t="s">
        <v>740</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x14ac:dyDescent="0.2">
      <c r="E539" s="843" t="s">
        <v>741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x14ac:dyDescent="0.2">
      <c r="E540" s="843" t="s">
        <v>742</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x14ac:dyDescent="0.2">
      <c r="E541" s="843" t="s">
        <v>743</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x14ac:dyDescent="0.2">
      <c r="E542" s="843" t="s">
        <v>744</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x14ac:dyDescent="0.2">
      <c r="E543" s="843" t="s">
        <v>745</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x14ac:dyDescent="0.2">
      <c r="E544" s="843" t="s">
        <v>746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x14ac:dyDescent="0.2">
      <c r="E545" s="843" t="s">
        <v>747</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x14ac:dyDescent="0.2">
      <c r="E546" s="843" t="s">
        <v>748</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x14ac:dyDescent="0.2">
      <c r="E547" s="843" t="s">
        <v>749</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x14ac:dyDescent="0.2">
      <c r="E548" s="843" t="s">
        <v>750</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x14ac:dyDescent="0.2">
      <c r="E549" s="843" t="s">
        <v>751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x14ac:dyDescent="0.2">
      <c r="E550" s="843" t="s">
        <v>752</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x14ac:dyDescent="0.2">
      <c r="E551" s="843" t="s">
        <v>753</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x14ac:dyDescent="0.2">
      <c r="E552" s="843" t="s">
        <v>754</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x14ac:dyDescent="0.2">
      <c r="E553" s="843" t="s">
        <v>755</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x14ac:dyDescent="0.2">
      <c r="E554" s="843" t="s">
        <v>756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x14ac:dyDescent="0.2">
      <c r="E555" s="843" t="s">
        <v>757</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x14ac:dyDescent="0.2">
      <c r="E556" s="843" t="s">
        <v>758</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x14ac:dyDescent="0.2">
      <c r="E557" s="843" t="s">
        <v>759</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x14ac:dyDescent="0.2">
      <c r="E558" s="843" t="s">
        <v>760</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x14ac:dyDescent="0.2">
      <c r="E559" s="843" t="s">
        <v>761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x14ac:dyDescent="0.2">
      <c r="E560" s="843" t="s">
        <v>762</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x14ac:dyDescent="0.2">
      <c r="E561" s="843" t="s">
        <v>763</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x14ac:dyDescent="0.2">
      <c r="E562" s="843" t="s">
        <v>764</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x14ac:dyDescent="0.2">
      <c r="E563" s="843" t="s">
        <v>765</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x14ac:dyDescent="0.2">
      <c r="E564" s="843" t="s">
        <v>766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x14ac:dyDescent="0.2">
      <c r="E565" s="843" t="s">
        <v>767</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x14ac:dyDescent="0.2">
      <c r="E566" s="843" t="s">
        <v>768</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x14ac:dyDescent="0.2">
      <c r="E567" s="843" t="s">
        <v>769</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x14ac:dyDescent="0.2">
      <c r="E568" s="843" t="s">
        <v>770</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x14ac:dyDescent="0.2">
      <c r="E569" s="843" t="s">
        <v>771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x14ac:dyDescent="0.2">
      <c r="E570" s="843" t="s">
        <v>772</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x14ac:dyDescent="0.2">
      <c r="E571" s="843" t="s">
        <v>773</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x14ac:dyDescent="0.2">
      <c r="E572" s="843" t="s">
        <v>774</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x14ac:dyDescent="0.2">
      <c r="E573" s="843" t="s">
        <v>775</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x14ac:dyDescent="0.2">
      <c r="E574" s="843" t="s">
        <v>776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x14ac:dyDescent="0.2">
      <c r="E575" s="843" t="s">
        <v>777</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x14ac:dyDescent="0.2">
      <c r="E576" s="843" t="s">
        <v>778</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x14ac:dyDescent="0.2">
      <c r="E577" s="843" t="s">
        <v>779</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x14ac:dyDescent="0.2">
      <c r="E578" s="843" t="s">
        <v>780</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x14ac:dyDescent="0.2">
      <c r="E579" s="843" t="s">
        <v>781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x14ac:dyDescent="0.2">
      <c r="E580" s="843" t="s">
        <v>782</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x14ac:dyDescent="0.2">
      <c r="E581" s="843" t="s">
        <v>783</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x14ac:dyDescent="0.2">
      <c r="E582" s="843" t="s">
        <v>784</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x14ac:dyDescent="0.2">
      <c r="E583" s="843" t="s">
        <v>785</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x14ac:dyDescent="0.2">
      <c r="E584" s="843" t="s">
        <v>786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x14ac:dyDescent="0.2">
      <c r="E585" s="843" t="s">
        <v>787</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x14ac:dyDescent="0.2">
      <c r="E586" s="843" t="s">
        <v>788</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x14ac:dyDescent="0.2">
      <c r="E587" s="843" t="s">
        <v>789</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x14ac:dyDescent="0.2">
      <c r="E588" s="843" t="s">
        <v>790</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x14ac:dyDescent="0.2">
      <c r="E589" s="843" t="s">
        <v>791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x14ac:dyDescent="0.2">
      <c r="E590" s="843" t="s">
        <v>792</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x14ac:dyDescent="0.2">
      <c r="E591" s="843" t="s">
        <v>793</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x14ac:dyDescent="0.2">
      <c r="E592" s="843" t="s">
        <v>794</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x14ac:dyDescent="0.2">
      <c r="E593" s="843" t="s">
        <v>795</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x14ac:dyDescent="0.2">
      <c r="E594" s="843" t="s">
        <v>796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x14ac:dyDescent="0.2">
      <c r="E595" s="843" t="s">
        <v>797</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x14ac:dyDescent="0.2">
      <c r="E596" s="843" t="s">
        <v>798</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x14ac:dyDescent="0.2">
      <c r="E597" s="843" t="s">
        <v>799</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x14ac:dyDescent="0.2">
      <c r="E598" s="843" t="s">
        <v>800</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x14ac:dyDescent="0.2">
      <c r="E599" s="843" t="s">
        <v>801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x14ac:dyDescent="0.2">
      <c r="E600" s="843" t="s">
        <v>802</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x14ac:dyDescent="0.2">
      <c r="E601" s="843" t="s">
        <v>803</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x14ac:dyDescent="0.2">
      <c r="E602" s="843" t="s">
        <v>804</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x14ac:dyDescent="0.2">
      <c r="E603" s="843" t="s">
        <v>805</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x14ac:dyDescent="0.2">
      <c r="E604" s="843" t="s">
        <v>806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x14ac:dyDescent="0.2">
      <c r="E605" s="843" t="s">
        <v>807</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x14ac:dyDescent="0.2">
      <c r="E606" s="843" t="s">
        <v>808</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x14ac:dyDescent="0.2">
      <c r="E607" s="843" t="s">
        <v>809</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x14ac:dyDescent="0.2">
      <c r="E608" s="843" t="s">
        <v>810</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x14ac:dyDescent="0.2">
      <c r="E609" s="843" t="s">
        <v>811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x14ac:dyDescent="0.2">
      <c r="E610" s="843" t="s">
        <v>812</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x14ac:dyDescent="0.2">
      <c r="E611" s="843" t="s">
        <v>813</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x14ac:dyDescent="0.2">
      <c r="E612" s="843" t="s">
        <v>814</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x14ac:dyDescent="0.2">
      <c r="E613" s="843" t="s">
        <v>815</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x14ac:dyDescent="0.2">
      <c r="E614" s="843" t="s">
        <v>816</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x14ac:dyDescent="0.2">
      <c r="E615" s="843" t="s">
        <v>817</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x14ac:dyDescent="0.2">
      <c r="E616" s="843" t="s">
        <v>818</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x14ac:dyDescent="0.2">
      <c r="E617" s="843" t="s">
        <v>819</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x14ac:dyDescent="0.2">
      <c r="E618" s="843" t="s">
        <v>820</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x14ac:dyDescent="0.2">
      <c r="E619" s="843" t="s">
        <v>821</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x14ac:dyDescent="0.2">
      <c r="E620" s="843" t="s">
        <v>822</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x14ac:dyDescent="0.2">
      <c r="E621" s="843" t="s">
        <v>823</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x14ac:dyDescent="0.2">
      <c r="E622" s="843" t="s">
        <v>824</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x14ac:dyDescent="0.2">
      <c r="E623" s="843" t="s">
        <v>825</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x14ac:dyDescent="0.2">
      <c r="E624" s="843" t="s">
        <v>826</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x14ac:dyDescent="0.2">
      <c r="E625" s="843" t="s">
        <v>827</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x14ac:dyDescent="0.2">
      <c r="E626" s="843" t="s">
        <v>828</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x14ac:dyDescent="0.2">
      <c r="E627" s="843" t="s">
        <v>829</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x14ac:dyDescent="0.2">
      <c r="E628" s="843" t="s">
        <v>830</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x14ac:dyDescent="0.2">
      <c r="E629" s="843" t="s">
        <v>831</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x14ac:dyDescent="0.2">
      <c r="E630" s="843" t="s">
        <v>832</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x14ac:dyDescent="0.2">
      <c r="E631" s="843" t="s">
        <v>833</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x14ac:dyDescent="0.2">
      <c r="E632" s="843" t="s">
        <v>834</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x14ac:dyDescent="0.2">
      <c r="E633" s="843" t="s">
        <v>835</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x14ac:dyDescent="0.2">
      <c r="E634" s="843" t="s">
        <v>836</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x14ac:dyDescent="0.2">
      <c r="E635" s="843" t="s">
        <v>837</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x14ac:dyDescent="0.2">
      <c r="E636" s="843" t="s">
        <v>838</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x14ac:dyDescent="0.2">
      <c r="E637" s="843" t="s">
        <v>839</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x14ac:dyDescent="0.2">
      <c r="E638" s="843" t="s">
        <v>840</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x14ac:dyDescent="0.2">
      <c r="E639" s="843" t="s">
        <v>841</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x14ac:dyDescent="0.2">
      <c r="E640" s="843" t="s">
        <v>842</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x14ac:dyDescent="0.2">
      <c r="E641" s="843" t="s">
        <v>843</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x14ac:dyDescent="0.2">
      <c r="E642" s="843" t="s">
        <v>844</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x14ac:dyDescent="0.2">
      <c r="E643" s="843" t="s">
        <v>845</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x14ac:dyDescent="0.2">
      <c r="E644" s="843" t="s">
        <v>846</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x14ac:dyDescent="0.2">
      <c r="E645" s="843" t="s">
        <v>847</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x14ac:dyDescent="0.2">
      <c r="E646" s="843" t="s">
        <v>848</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x14ac:dyDescent="0.2">
      <c r="E647" s="843" t="s">
        <v>849</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x14ac:dyDescent="0.2">
      <c r="E648" s="843" t="s">
        <v>850</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x14ac:dyDescent="0.2">
      <c r="E649" s="843" t="s">
        <v>851</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x14ac:dyDescent="0.2">
      <c r="E650" s="843" t="s">
        <v>852</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x14ac:dyDescent="0.2">
      <c r="E651" s="843" t="s">
        <v>853</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x14ac:dyDescent="0.2">
      <c r="E652" s="843" t="s">
        <v>854</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x14ac:dyDescent="0.2">
      <c r="E653" s="843" t="s">
        <v>855</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x14ac:dyDescent="0.2">
      <c r="E654" s="843" t="s">
        <v>856</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x14ac:dyDescent="0.2">
      <c r="E655" s="843" t="s">
        <v>857</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x14ac:dyDescent="0.2">
      <c r="E656" s="843" t="s">
        <v>858</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x14ac:dyDescent="0.2">
      <c r="E657" s="843" t="s">
        <v>859</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x14ac:dyDescent="0.2">
      <c r="E658" s="843" t="s">
        <v>860</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x14ac:dyDescent="0.2">
      <c r="E659" s="843" t="s">
        <v>861</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x14ac:dyDescent="0.2">
      <c r="E660" s="843" t="s">
        <v>862</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x14ac:dyDescent="0.2">
      <c r="E661" s="843" t="s">
        <v>863</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x14ac:dyDescent="0.2">
      <c r="E662" s="843" t="s">
        <v>864</v>
      </c>
      <c r="F662" s="843" t="str">
        <f>Translations!$B$1066</f>
        <v>Ingots and other primary forms, of tool steel</v>
      </c>
      <c r="G662" s="844"/>
      <c r="H662" s="844"/>
      <c r="I662" s="844"/>
      <c r="J662" s="844"/>
      <c r="K662" s="844"/>
      <c r="L662" s="844"/>
      <c r="M662" s="847" t="str">
        <f>Translations!$B$668</f>
        <v>Crude steel</v>
      </c>
      <c r="N662" s="688"/>
    </row>
    <row r="663" spans="5:14" ht="12.75" customHeight="1" x14ac:dyDescent="0.2">
      <c r="E663" s="843" t="s">
        <v>865</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x14ac:dyDescent="0.2">
      <c r="E664" s="843" t="s">
        <v>866</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x14ac:dyDescent="0.2">
      <c r="E665" s="843" t="s">
        <v>867</v>
      </c>
      <c r="F665" s="843" t="str">
        <f>Translations!$B$1069</f>
        <v>Semi-finished products of tool steel</v>
      </c>
      <c r="G665" s="844"/>
      <c r="H665" s="844"/>
      <c r="I665" s="844"/>
      <c r="J665" s="844"/>
      <c r="K665" s="844"/>
      <c r="L665" s="844"/>
      <c r="M665" s="847" t="str">
        <f>Translations!$B$668</f>
        <v>Crude steel</v>
      </c>
      <c r="N665" s="688"/>
    </row>
    <row r="666" spans="5:14" ht="12.75" customHeight="1" x14ac:dyDescent="0.2">
      <c r="E666" s="843" t="s">
        <v>868</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x14ac:dyDescent="0.2">
      <c r="E667" s="843" t="s">
        <v>869</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x14ac:dyDescent="0.2">
      <c r="E668" s="843" t="s">
        <v>870</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x14ac:dyDescent="0.2">
      <c r="E669" s="843" t="s">
        <v>871</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x14ac:dyDescent="0.2">
      <c r="E670" s="843" t="s">
        <v>872</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x14ac:dyDescent="0.2">
      <c r="E671" s="843" t="s">
        <v>873</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x14ac:dyDescent="0.2">
      <c r="E672" s="843" t="s">
        <v>874</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x14ac:dyDescent="0.2">
      <c r="E673" s="843" t="s">
        <v>875</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x14ac:dyDescent="0.2">
      <c r="E674" s="843" t="s">
        <v>876</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x14ac:dyDescent="0.2">
      <c r="E675" s="843" t="s">
        <v>877</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x14ac:dyDescent="0.2">
      <c r="E676" s="843" t="s">
        <v>878</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x14ac:dyDescent="0.2">
      <c r="E677" s="843" t="s">
        <v>879</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x14ac:dyDescent="0.2">
      <c r="E678" s="843" t="s">
        <v>880</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x14ac:dyDescent="0.2">
      <c r="E679" s="843" t="s">
        <v>881</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x14ac:dyDescent="0.2">
      <c r="E680" s="843" t="s">
        <v>882</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x14ac:dyDescent="0.2">
      <c r="E681" s="843" t="s">
        <v>883</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x14ac:dyDescent="0.2">
      <c r="E682" s="843" t="s">
        <v>884</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x14ac:dyDescent="0.2">
      <c r="E683" s="843" t="s">
        <v>885</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x14ac:dyDescent="0.2">
      <c r="E684" s="843" t="s">
        <v>886</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x14ac:dyDescent="0.2">
      <c r="E685" s="843" t="s">
        <v>887</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x14ac:dyDescent="0.2">
      <c r="E686" s="843" t="s">
        <v>888</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x14ac:dyDescent="0.2">
      <c r="E687" s="843" t="s">
        <v>889</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x14ac:dyDescent="0.2">
      <c r="E688" s="843" t="s">
        <v>890</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x14ac:dyDescent="0.2">
      <c r="E689" s="843" t="s">
        <v>891</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x14ac:dyDescent="0.2">
      <c r="E690" s="843" t="s">
        <v>892</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x14ac:dyDescent="0.2">
      <c r="E691" s="843" t="s">
        <v>893</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x14ac:dyDescent="0.2">
      <c r="E692" s="843" t="s">
        <v>894</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x14ac:dyDescent="0.2">
      <c r="E693" s="843" t="s">
        <v>895</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x14ac:dyDescent="0.2">
      <c r="E694" s="843" t="s">
        <v>896</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x14ac:dyDescent="0.2">
      <c r="E695" s="843" t="s">
        <v>897</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x14ac:dyDescent="0.2">
      <c r="E696" s="843" t="s">
        <v>898</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x14ac:dyDescent="0.2">
      <c r="E697" s="843" t="s">
        <v>899</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x14ac:dyDescent="0.2">
      <c r="E698" s="843" t="s">
        <v>900</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x14ac:dyDescent="0.2">
      <c r="E699" s="843" t="s">
        <v>901</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x14ac:dyDescent="0.2">
      <c r="E700" s="843" t="s">
        <v>902</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x14ac:dyDescent="0.2">
      <c r="E701" s="843" t="s">
        <v>903</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x14ac:dyDescent="0.2">
      <c r="E702" s="843" t="s">
        <v>904</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x14ac:dyDescent="0.2">
      <c r="E703" s="843" t="s">
        <v>905</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x14ac:dyDescent="0.2">
      <c r="E704" s="843" t="s">
        <v>906</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x14ac:dyDescent="0.2">
      <c r="E705" s="843" t="s">
        <v>907</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x14ac:dyDescent="0.2">
      <c r="E706" s="843" t="s">
        <v>908</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x14ac:dyDescent="0.2">
      <c r="E707" s="843" t="s">
        <v>909</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x14ac:dyDescent="0.2">
      <c r="E708" s="843" t="s">
        <v>910</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x14ac:dyDescent="0.2">
      <c r="E709" s="843" t="s">
        <v>911</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x14ac:dyDescent="0.2">
      <c r="E710" s="843" t="s">
        <v>912</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x14ac:dyDescent="0.2">
      <c r="E711" s="843" t="s">
        <v>913</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x14ac:dyDescent="0.2">
      <c r="E712" s="843" t="s">
        <v>914</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x14ac:dyDescent="0.2">
      <c r="E713" s="843" t="s">
        <v>915</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x14ac:dyDescent="0.2">
      <c r="E714" s="843" t="s">
        <v>916</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x14ac:dyDescent="0.2">
      <c r="E715" s="843" t="s">
        <v>917</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x14ac:dyDescent="0.2">
      <c r="E716" s="843" t="s">
        <v>918</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x14ac:dyDescent="0.2">
      <c r="E717" s="843" t="s">
        <v>919</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x14ac:dyDescent="0.2">
      <c r="E718" s="843" t="s">
        <v>920</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x14ac:dyDescent="0.2">
      <c r="E719" s="843" t="s">
        <v>921</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x14ac:dyDescent="0.2">
      <c r="E720" s="843" t="s">
        <v>922</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x14ac:dyDescent="0.2">
      <c r="E721" s="843" t="s">
        <v>923</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x14ac:dyDescent="0.2">
      <c r="E722" s="843" t="s">
        <v>924</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x14ac:dyDescent="0.2">
      <c r="E723" s="843" t="s">
        <v>925</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x14ac:dyDescent="0.2">
      <c r="E724" s="843" t="s">
        <v>926</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x14ac:dyDescent="0.2">
      <c r="E725" s="843" t="s">
        <v>927</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x14ac:dyDescent="0.2">
      <c r="E726" s="843" t="s">
        <v>928</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x14ac:dyDescent="0.2">
      <c r="E727" s="843" t="s">
        <v>929</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x14ac:dyDescent="0.2">
      <c r="E728" s="843" t="s">
        <v>930</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x14ac:dyDescent="0.2">
      <c r="E729" s="843" t="s">
        <v>931</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x14ac:dyDescent="0.2">
      <c r="E730" s="843" t="s">
        <v>932</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x14ac:dyDescent="0.2">
      <c r="E731" s="843" t="s">
        <v>933</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x14ac:dyDescent="0.2">
      <c r="E732" s="843" t="s">
        <v>934</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x14ac:dyDescent="0.2">
      <c r="E733" s="843" t="s">
        <v>935</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x14ac:dyDescent="0.2">
      <c r="E734" s="843" t="s">
        <v>936</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x14ac:dyDescent="0.2">
      <c r="E735" s="843" t="s">
        <v>937</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x14ac:dyDescent="0.2">
      <c r="E736" s="843" t="s">
        <v>938</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x14ac:dyDescent="0.2">
      <c r="E737" s="843" t="s">
        <v>939</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x14ac:dyDescent="0.2">
      <c r="E738" s="843" t="s">
        <v>940</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x14ac:dyDescent="0.2">
      <c r="E739" s="843" t="s">
        <v>941</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x14ac:dyDescent="0.2">
      <c r="E740" s="843" t="s">
        <v>942</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x14ac:dyDescent="0.2">
      <c r="E741" s="843" t="s">
        <v>943</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x14ac:dyDescent="0.2">
      <c r="E742" s="843" t="s">
        <v>944</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x14ac:dyDescent="0.2">
      <c r="E743" s="843" t="s">
        <v>945</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x14ac:dyDescent="0.2">
      <c r="E744" s="843" t="s">
        <v>946</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x14ac:dyDescent="0.2">
      <c r="E745" s="843" t="s">
        <v>947</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x14ac:dyDescent="0.2">
      <c r="E746" s="843" t="s">
        <v>948</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x14ac:dyDescent="0.2">
      <c r="E747" s="843" t="s">
        <v>949</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x14ac:dyDescent="0.2">
      <c r="E748" s="843" t="s">
        <v>950</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x14ac:dyDescent="0.2">
      <c r="E749" s="843" t="s">
        <v>951</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x14ac:dyDescent="0.2">
      <c r="E750" s="843" t="s">
        <v>952</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x14ac:dyDescent="0.2">
      <c r="E751" s="843" t="s">
        <v>953</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x14ac:dyDescent="0.2">
      <c r="E752" s="843" t="s">
        <v>954</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x14ac:dyDescent="0.2">
      <c r="E753" s="843" t="s">
        <v>955</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x14ac:dyDescent="0.2">
      <c r="E754" s="843" t="s">
        <v>956</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x14ac:dyDescent="0.2">
      <c r="E755" s="843" t="s">
        <v>957</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x14ac:dyDescent="0.2">
      <c r="E756" s="843" t="s">
        <v>958</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x14ac:dyDescent="0.2">
      <c r="E757" s="843" t="s">
        <v>959</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x14ac:dyDescent="0.2">
      <c r="E758" s="843" t="s">
        <v>960</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x14ac:dyDescent="0.2">
      <c r="E759" s="843" t="s">
        <v>961</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x14ac:dyDescent="0.2">
      <c r="E760" s="843" t="s">
        <v>962</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x14ac:dyDescent="0.2">
      <c r="E761" s="843" t="s">
        <v>963</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x14ac:dyDescent="0.2">
      <c r="E762" s="843" t="s">
        <v>964</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x14ac:dyDescent="0.2">
      <c r="E763" s="843" t="s">
        <v>965</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x14ac:dyDescent="0.2">
      <c r="E764" s="843" t="s">
        <v>966</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x14ac:dyDescent="0.2">
      <c r="E765" s="843" t="s">
        <v>967</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x14ac:dyDescent="0.2">
      <c r="E766" s="843" t="s">
        <v>968</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x14ac:dyDescent="0.2">
      <c r="E767" s="843" t="s">
        <v>969</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x14ac:dyDescent="0.2">
      <c r="E768" s="843" t="s">
        <v>970</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x14ac:dyDescent="0.2">
      <c r="E769" s="843" t="s">
        <v>971</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x14ac:dyDescent="0.2">
      <c r="E770" s="843" t="s">
        <v>972</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x14ac:dyDescent="0.2">
      <c r="E771" s="843" t="s">
        <v>973</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x14ac:dyDescent="0.2">
      <c r="E772" s="843" t="s">
        <v>974</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x14ac:dyDescent="0.2">
      <c r="E773" s="843" t="s">
        <v>975</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x14ac:dyDescent="0.2">
      <c r="E774" s="843" t="s">
        <v>976</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x14ac:dyDescent="0.2">
      <c r="E775" s="843" t="s">
        <v>977</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x14ac:dyDescent="0.2">
      <c r="E776" s="843" t="s">
        <v>978</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x14ac:dyDescent="0.2">
      <c r="E777" s="843" t="s">
        <v>979</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x14ac:dyDescent="0.2">
      <c r="E778" s="843" t="s">
        <v>980</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x14ac:dyDescent="0.2">
      <c r="E779" s="843" t="s">
        <v>981</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x14ac:dyDescent="0.2">
      <c r="E780" s="843" t="s">
        <v>982</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x14ac:dyDescent="0.2">
      <c r="E781" s="843" t="s">
        <v>983</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x14ac:dyDescent="0.2">
      <c r="E782" s="843" t="s">
        <v>984</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x14ac:dyDescent="0.2">
      <c r="E783" s="843" t="s">
        <v>985</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x14ac:dyDescent="0.2">
      <c r="E784" s="843" t="s">
        <v>986</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x14ac:dyDescent="0.2">
      <c r="E785" s="843" t="s">
        <v>987</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x14ac:dyDescent="0.2">
      <c r="E786" s="843" t="s">
        <v>988</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x14ac:dyDescent="0.2">
      <c r="E787" s="843" t="s">
        <v>989</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x14ac:dyDescent="0.2">
      <c r="E788" s="843" t="s">
        <v>990</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x14ac:dyDescent="0.2">
      <c r="E789" s="843" t="s">
        <v>991</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x14ac:dyDescent="0.2">
      <c r="E790" s="843" t="s">
        <v>992</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x14ac:dyDescent="0.2">
      <c r="E791" s="843" t="s">
        <v>993</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x14ac:dyDescent="0.2">
      <c r="E792" s="843" t="s">
        <v>994</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x14ac:dyDescent="0.2">
      <c r="E793" s="843" t="s">
        <v>995</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x14ac:dyDescent="0.2">
      <c r="E794" s="843" t="s">
        <v>996</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x14ac:dyDescent="0.2">
      <c r="E795" s="843" t="s">
        <v>997</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x14ac:dyDescent="0.2">
      <c r="E796" s="843" t="s">
        <v>998</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x14ac:dyDescent="0.2">
      <c r="E797" s="843" t="s">
        <v>999</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x14ac:dyDescent="0.2">
      <c r="E798" s="843" t="s">
        <v>1000</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x14ac:dyDescent="0.2">
      <c r="E799" s="843" t="s">
        <v>1001</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x14ac:dyDescent="0.2">
      <c r="E800" s="843" t="s">
        <v>1002</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x14ac:dyDescent="0.2">
      <c r="E801" s="843" t="s">
        <v>1003</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x14ac:dyDescent="0.2">
      <c r="E802" s="843" t="s">
        <v>1004</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x14ac:dyDescent="0.2">
      <c r="E803" s="843" t="s">
        <v>1005</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x14ac:dyDescent="0.2">
      <c r="E804" s="843" t="s">
        <v>1006</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x14ac:dyDescent="0.2">
      <c r="E805" s="843" t="s">
        <v>1007</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x14ac:dyDescent="0.2">
      <c r="E806" s="843" t="s">
        <v>1008</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x14ac:dyDescent="0.2">
      <c r="E807" s="843" t="s">
        <v>1009</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x14ac:dyDescent="0.2">
      <c r="E808" s="843" t="s">
        <v>1010</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x14ac:dyDescent="0.2">
      <c r="E809" s="843" t="s">
        <v>1011</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x14ac:dyDescent="0.2">
      <c r="E810" s="843" t="s">
        <v>1012</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x14ac:dyDescent="0.2">
      <c r="E811" s="843" t="s">
        <v>1013</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x14ac:dyDescent="0.2">
      <c r="E812" s="843" t="s">
        <v>1014</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x14ac:dyDescent="0.2">
      <c r="E813" s="843" t="s">
        <v>1015</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x14ac:dyDescent="0.2">
      <c r="E814" s="843" t="s">
        <v>1016</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x14ac:dyDescent="0.2">
      <c r="E815" s="843" t="s">
        <v>1017</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x14ac:dyDescent="0.2">
      <c r="E816" s="843" t="s">
        <v>1018</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x14ac:dyDescent="0.2">
      <c r="E817" s="843" t="s">
        <v>1019</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x14ac:dyDescent="0.2">
      <c r="E818" s="843" t="s">
        <v>1020</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x14ac:dyDescent="0.2">
      <c r="E819" s="843" t="s">
        <v>1021</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x14ac:dyDescent="0.2">
      <c r="E820" s="843" t="s">
        <v>1022</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x14ac:dyDescent="0.2">
      <c r="E821" s="843" t="s">
        <v>1023</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x14ac:dyDescent="0.2">
      <c r="E822" s="843" t="s">
        <v>1024</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x14ac:dyDescent="0.2">
      <c r="E823" s="843" t="s">
        <v>1025</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x14ac:dyDescent="0.2">
      <c r="E824" s="843" t="s">
        <v>1026</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x14ac:dyDescent="0.2">
      <c r="E825" s="843" t="s">
        <v>1027</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x14ac:dyDescent="0.2">
      <c r="E826" s="843" t="s">
        <v>1028</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x14ac:dyDescent="0.2">
      <c r="E827" s="843" t="s">
        <v>1029</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x14ac:dyDescent="0.2">
      <c r="E828" s="843" t="s">
        <v>1030</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x14ac:dyDescent="0.2">
      <c r="E829" s="843" t="s">
        <v>1031</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x14ac:dyDescent="0.2">
      <c r="E830" s="843" t="s">
        <v>1032</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x14ac:dyDescent="0.2">
      <c r="E831" s="843" t="s">
        <v>1033</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x14ac:dyDescent="0.2">
      <c r="E832" s="843" t="s">
        <v>1034</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x14ac:dyDescent="0.2">
      <c r="E833" s="843" t="s">
        <v>1035</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x14ac:dyDescent="0.2">
      <c r="E834" s="843" t="s">
        <v>1036</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x14ac:dyDescent="0.2">
      <c r="E835" s="843" t="s">
        <v>1037</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x14ac:dyDescent="0.2">
      <c r="E836" s="843" t="s">
        <v>1038</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x14ac:dyDescent="0.2">
      <c r="E837" s="843" t="s">
        <v>1039</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x14ac:dyDescent="0.2">
      <c r="E838" s="843" t="s">
        <v>1040</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x14ac:dyDescent="0.2">
      <c r="E839" s="843" t="s">
        <v>1041</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x14ac:dyDescent="0.2">
      <c r="E840" s="843" t="s">
        <v>1042</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x14ac:dyDescent="0.2">
      <c r="E841" s="843" t="s">
        <v>1043</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x14ac:dyDescent="0.2">
      <c r="E842" s="843" t="s">
        <v>1044</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x14ac:dyDescent="0.2">
      <c r="E843" s="843" t="s">
        <v>1045</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x14ac:dyDescent="0.2">
      <c r="E844" s="843" t="s">
        <v>1046</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x14ac:dyDescent="0.2">
      <c r="E845" s="843" t="s">
        <v>1047</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x14ac:dyDescent="0.2">
      <c r="E846" s="843" t="s">
        <v>1048</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x14ac:dyDescent="0.2">
      <c r="E847" s="843" t="s">
        <v>1049</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x14ac:dyDescent="0.2">
      <c r="E848" s="843" t="s">
        <v>1050</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x14ac:dyDescent="0.2">
      <c r="E849" s="843" t="s">
        <v>1051</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x14ac:dyDescent="0.2">
      <c r="E850" s="843" t="s">
        <v>1052</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x14ac:dyDescent="0.2">
      <c r="E851" s="843" t="s">
        <v>1053</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x14ac:dyDescent="0.2">
      <c r="E852" s="843" t="s">
        <v>1054</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x14ac:dyDescent="0.2">
      <c r="E853" s="843" t="s">
        <v>1055</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x14ac:dyDescent="0.2">
      <c r="E854" s="843" t="s">
        <v>1056</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x14ac:dyDescent="0.2">
      <c r="E855" s="843" t="s">
        <v>1057</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x14ac:dyDescent="0.2">
      <c r="E856" s="843" t="s">
        <v>1058</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x14ac:dyDescent="0.2">
      <c r="E857" s="843" t="s">
        <v>1059</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x14ac:dyDescent="0.2">
      <c r="E858" s="843" t="s">
        <v>1060</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x14ac:dyDescent="0.2">
      <c r="E859" s="843" t="s">
        <v>1061</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x14ac:dyDescent="0.2">
      <c r="E860" s="843" t="s">
        <v>1062</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x14ac:dyDescent="0.2">
      <c r="E861" s="843" t="s">
        <v>1063</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x14ac:dyDescent="0.2">
      <c r="E862" s="843" t="s">
        <v>1064</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x14ac:dyDescent="0.2">
      <c r="E863" s="843" t="s">
        <v>1065</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x14ac:dyDescent="0.2">
      <c r="E864" s="843" t="s">
        <v>1066</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x14ac:dyDescent="0.2">
      <c r="E865" s="843" t="s">
        <v>1067</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x14ac:dyDescent="0.2">
      <c r="E866" s="843" t="s">
        <v>1068</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x14ac:dyDescent="0.2">
      <c r="E867" s="843" t="s">
        <v>1069</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x14ac:dyDescent="0.2">
      <c r="E868" s="843" t="s">
        <v>1070</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x14ac:dyDescent="0.2">
      <c r="E869" s="843" t="s">
        <v>1071</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x14ac:dyDescent="0.2">
      <c r="E870" s="843" t="s">
        <v>1072</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x14ac:dyDescent="0.2">
      <c r="E871" s="843" t="s">
        <v>1073</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x14ac:dyDescent="0.2">
      <c r="E872" s="843" t="s">
        <v>1074</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x14ac:dyDescent="0.2">
      <c r="E873" s="843" t="s">
        <v>1075</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x14ac:dyDescent="0.2">
      <c r="E874" s="843" t="s">
        <v>1076</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x14ac:dyDescent="0.2">
      <c r="E875" s="843" t="s">
        <v>1077</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x14ac:dyDescent="0.2">
      <c r="E876" s="843" t="s">
        <v>1078</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x14ac:dyDescent="0.2">
      <c r="E877" s="843" t="s">
        <v>1079</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x14ac:dyDescent="0.2">
      <c r="E878" s="843" t="s">
        <v>1080</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x14ac:dyDescent="0.2">
      <c r="E879" s="843" t="s">
        <v>1081</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x14ac:dyDescent="0.2">
      <c r="E880" s="843" t="s">
        <v>1082</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x14ac:dyDescent="0.2">
      <c r="E881" s="843" t="s">
        <v>1083</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x14ac:dyDescent="0.2">
      <c r="E882" s="843" t="s">
        <v>1084</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x14ac:dyDescent="0.2">
      <c r="E883" s="843" t="s">
        <v>1085</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x14ac:dyDescent="0.2">
      <c r="E884" s="843" t="s">
        <v>1086</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x14ac:dyDescent="0.2">
      <c r="E885" s="843" t="s">
        <v>1087</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x14ac:dyDescent="0.2">
      <c r="E886" s="843" t="s">
        <v>1088</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x14ac:dyDescent="0.2">
      <c r="E887" s="843" t="s">
        <v>1089</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x14ac:dyDescent="0.2">
      <c r="E888" s="843" t="s">
        <v>1090</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x14ac:dyDescent="0.2">
      <c r="E889" s="843" t="s">
        <v>1091</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x14ac:dyDescent="0.2">
      <c r="E890" s="843" t="s">
        <v>1092</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x14ac:dyDescent="0.2">
      <c r="E891" s="843" t="s">
        <v>1093</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x14ac:dyDescent="0.2">
      <c r="E892" s="843" t="s">
        <v>1094</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x14ac:dyDescent="0.2">
      <c r="E893" s="843" t="s">
        <v>1095</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x14ac:dyDescent="0.2">
      <c r="E894" s="843" t="s">
        <v>1096</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x14ac:dyDescent="0.2">
      <c r="E895" s="843" t="s">
        <v>1097</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x14ac:dyDescent="0.2">
      <c r="E896" s="843" t="s">
        <v>1098</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x14ac:dyDescent="0.2">
      <c r="E897" s="843" t="s">
        <v>1099</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x14ac:dyDescent="0.2">
      <c r="E898" s="843" t="s">
        <v>1100</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x14ac:dyDescent="0.2">
      <c r="E899" s="843" t="s">
        <v>1101</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x14ac:dyDescent="0.2">
      <c r="E900" s="843" t="s">
        <v>1102</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x14ac:dyDescent="0.2">
      <c r="E901" s="843" t="s">
        <v>1103</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x14ac:dyDescent="0.2">
      <c r="E902" s="843" t="s">
        <v>1104</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x14ac:dyDescent="0.2">
      <c r="E903" s="843" t="s">
        <v>1105</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x14ac:dyDescent="0.2">
      <c r="E904" s="843" t="s">
        <v>1106</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x14ac:dyDescent="0.2">
      <c r="E905" s="843" t="s">
        <v>1107</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x14ac:dyDescent="0.2">
      <c r="E906" s="843" t="s">
        <v>1108</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x14ac:dyDescent="0.2">
      <c r="E907" s="843" t="s">
        <v>1109</v>
      </c>
      <c r="F907" s="843" t="str">
        <f>Translations!$B$1311</f>
        <v>Coach screws of iron or steel</v>
      </c>
      <c r="G907" s="844"/>
      <c r="H907" s="844"/>
      <c r="I907" s="844"/>
      <c r="J907" s="844"/>
      <c r="K907" s="844"/>
      <c r="L907" s="844"/>
      <c r="M907" s="847" t="str">
        <f>Translations!$B$611</f>
        <v>Iron or steel products</v>
      </c>
      <c r="N907" s="688"/>
    </row>
    <row r="908" spans="5:14" ht="12.75" customHeight="1" x14ac:dyDescent="0.2">
      <c r="E908" s="843" t="s">
        <v>1110</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x14ac:dyDescent="0.2">
      <c r="E909" s="843" t="s">
        <v>1111</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x14ac:dyDescent="0.2">
      <c r="E910" s="843" t="s">
        <v>1112</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x14ac:dyDescent="0.2">
      <c r="E911" s="843" t="s">
        <v>1113</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x14ac:dyDescent="0.2">
      <c r="E912" s="843" t="s">
        <v>1114</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x14ac:dyDescent="0.2">
      <c r="E913" s="843" t="s">
        <v>1115</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x14ac:dyDescent="0.2">
      <c r="E914" s="843" t="s">
        <v>1116</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x14ac:dyDescent="0.2">
      <c r="E915" s="843" t="s">
        <v>1117</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x14ac:dyDescent="0.2">
      <c r="E916" s="843" t="s">
        <v>1118</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x14ac:dyDescent="0.2">
      <c r="E917" s="843" t="s">
        <v>1119</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x14ac:dyDescent="0.2">
      <c r="E918" s="843" t="s">
        <v>1120</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x14ac:dyDescent="0.2">
      <c r="E919" s="843" t="s">
        <v>1121</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x14ac:dyDescent="0.2">
      <c r="E920" s="843" t="s">
        <v>1122</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x14ac:dyDescent="0.2">
      <c r="E921" s="843" t="s">
        <v>1123</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x14ac:dyDescent="0.2">
      <c r="E922" s="843" t="s">
        <v>1124</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x14ac:dyDescent="0.2">
      <c r="E923" s="843" t="s">
        <v>1125</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x14ac:dyDescent="0.2">
      <c r="E924" s="843" t="s">
        <v>1126</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x14ac:dyDescent="0.2">
      <c r="E925" s="843" t="s">
        <v>1127</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x14ac:dyDescent="0.2">
      <c r="E926" s="843" t="s">
        <v>1128</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x14ac:dyDescent="0.2">
      <c r="E927" s="843" t="s">
        <v>1129</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x14ac:dyDescent="0.2">
      <c r="E928" s="843" t="s">
        <v>1130</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x14ac:dyDescent="0.2">
      <c r="E929" s="843" t="s">
        <v>1131</v>
      </c>
      <c r="F929" s="843" t="str">
        <f>Translations!$B$1333</f>
        <v>Nuts of iron or steel</v>
      </c>
      <c r="G929" s="844"/>
      <c r="H929" s="844"/>
      <c r="I929" s="844"/>
      <c r="J929" s="844"/>
      <c r="K929" s="844"/>
      <c r="L929" s="844"/>
      <c r="M929" s="847" t="str">
        <f>Translations!$B$611</f>
        <v>Iron or steel products</v>
      </c>
      <c r="N929" s="688"/>
    </row>
    <row r="930" spans="5:14" ht="12.75" customHeight="1" x14ac:dyDescent="0.2">
      <c r="E930" s="843" t="s">
        <v>1132</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x14ac:dyDescent="0.2">
      <c r="E931" s="843" t="s">
        <v>1133</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x14ac:dyDescent="0.2">
      <c r="E932" s="843" t="s">
        <v>1134</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x14ac:dyDescent="0.2">
      <c r="E933" s="843" t="s">
        <v>1135</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x14ac:dyDescent="0.2">
      <c r="E934" s="843" t="s">
        <v>1136</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x14ac:dyDescent="0.2">
      <c r="E935" s="843" t="s">
        <v>1137</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x14ac:dyDescent="0.2">
      <c r="E936" s="843" t="s">
        <v>1138</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x14ac:dyDescent="0.2">
      <c r="E937" s="843" t="s">
        <v>1139</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x14ac:dyDescent="0.2">
      <c r="E938" s="843" t="s">
        <v>1140</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x14ac:dyDescent="0.2">
      <c r="E939" s="843" t="s">
        <v>1141</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x14ac:dyDescent="0.2">
      <c r="E940" s="843" t="s">
        <v>1142</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x14ac:dyDescent="0.2">
      <c r="E941" s="843" t="s">
        <v>1143</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x14ac:dyDescent="0.2">
      <c r="E942" s="843" t="s">
        <v>1144</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x14ac:dyDescent="0.2">
      <c r="E943" s="843" t="s">
        <v>1145</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x14ac:dyDescent="0.2">
      <c r="E944" s="843" t="s">
        <v>1146</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x14ac:dyDescent="0.2">
      <c r="E945" s="843" t="s">
        <v>1147</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x14ac:dyDescent="0.2">
      <c r="E946" s="843" t="s">
        <v>1148</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x14ac:dyDescent="0.2">
      <c r="E947" s="843" t="s">
        <v>1149</v>
      </c>
      <c r="F947" s="843" t="str">
        <f>Translations!$B$1351</f>
        <v>Articles of iron or steel wire, n.e.s.</v>
      </c>
      <c r="G947" s="844"/>
      <c r="H947" s="844"/>
      <c r="I947" s="844"/>
      <c r="J947" s="844"/>
      <c r="K947" s="844"/>
      <c r="L947" s="844"/>
      <c r="M947" s="847" t="str">
        <f>Translations!$B$611</f>
        <v>Iron or steel products</v>
      </c>
      <c r="N947" s="688"/>
    </row>
    <row r="948" spans="5:14" ht="12.75" customHeight="1" x14ac:dyDescent="0.2">
      <c r="E948" s="843" t="s">
        <v>1150</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x14ac:dyDescent="0.2">
      <c r="E949" s="843" t="s">
        <v>1151</v>
      </c>
      <c r="F949" s="843" t="str">
        <f>Translations!$B$1353</f>
        <v>Ladders and steps, of iron or steel</v>
      </c>
      <c r="G949" s="844"/>
      <c r="H949" s="844"/>
      <c r="I949" s="844"/>
      <c r="J949" s="844"/>
      <c r="K949" s="844"/>
      <c r="L949" s="844"/>
      <c r="M949" s="847" t="str">
        <f>Translations!$B$611</f>
        <v>Iron or steel products</v>
      </c>
      <c r="N949" s="688"/>
    </row>
    <row r="950" spans="5:14" ht="12.75" customHeight="1" x14ac:dyDescent="0.2">
      <c r="E950" s="843" t="s">
        <v>1152</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x14ac:dyDescent="0.2">
      <c r="E951" s="843" t="s">
        <v>1153</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x14ac:dyDescent="0.2">
      <c r="E952" s="843" t="s">
        <v>1154</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x14ac:dyDescent="0.2">
      <c r="E953" s="843" t="s">
        <v>1155</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x14ac:dyDescent="0.2">
      <c r="E954" s="843" t="s">
        <v>1156</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x14ac:dyDescent="0.2">
      <c r="E955" s="843" t="s">
        <v>1157</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x14ac:dyDescent="0.2">
      <c r="E956" s="843" t="s">
        <v>1158</v>
      </c>
      <c r="F956" s="843" t="str">
        <f>Translations!$B$1360</f>
        <v>Articles of iron or steel, n.e.s.</v>
      </c>
      <c r="G956" s="844"/>
      <c r="H956" s="844"/>
      <c r="I956" s="844"/>
      <c r="J956" s="844"/>
      <c r="K956" s="844"/>
      <c r="L956" s="844"/>
      <c r="M956" s="847" t="str">
        <f>Translations!$B$611</f>
        <v>Iron or steel products</v>
      </c>
      <c r="N956" s="688"/>
    </row>
    <row r="957" spans="5:14" ht="12.75" customHeight="1" x14ac:dyDescent="0.2">
      <c r="E957" s="843" t="s">
        <v>1159</v>
      </c>
      <c r="F957" s="843" t="str">
        <f>Translations!$B$689</f>
        <v>Unwrought aluminium</v>
      </c>
      <c r="G957" s="844"/>
      <c r="H957" s="844"/>
      <c r="I957" s="844"/>
      <c r="J957" s="844"/>
      <c r="K957" s="844"/>
      <c r="L957" s="844"/>
      <c r="M957" s="847" t="str">
        <f>Translations!$B$689</f>
        <v>Unwrought aluminium</v>
      </c>
      <c r="N957" s="688"/>
    </row>
    <row r="958" spans="5:14" ht="12.75" customHeight="1" x14ac:dyDescent="0.2">
      <c r="E958" s="843" t="s">
        <v>1160</v>
      </c>
      <c r="F958" s="843" t="str">
        <f>Translations!$B$1361</f>
        <v>Aluminium, not alloyed, unwrought</v>
      </c>
      <c r="G958" s="844"/>
      <c r="H958" s="844"/>
      <c r="I958" s="844"/>
      <c r="J958" s="844"/>
      <c r="K958" s="844"/>
      <c r="L958" s="844"/>
      <c r="M958" s="847" t="str">
        <f>Translations!$B$689</f>
        <v>Unwrought aluminium</v>
      </c>
      <c r="N958" s="688"/>
    </row>
    <row r="959" spans="5:14" ht="12.75" customHeight="1" x14ac:dyDescent="0.2">
      <c r="E959" s="843" t="s">
        <v>1161</v>
      </c>
      <c r="F959" s="843" t="str">
        <f>Translations!$B$1362</f>
        <v>Unwrought aluminium alloys</v>
      </c>
      <c r="G959" s="844"/>
      <c r="H959" s="844"/>
      <c r="I959" s="844"/>
      <c r="J959" s="844"/>
      <c r="K959" s="844"/>
      <c r="L959" s="844"/>
      <c r="M959" s="847" t="str">
        <f>Translations!$B$689</f>
        <v>Unwrought aluminium</v>
      </c>
      <c r="N959" s="688"/>
    </row>
    <row r="960" spans="5:14" ht="12.75" customHeight="1" x14ac:dyDescent="0.2">
      <c r="E960" s="843" t="s">
        <v>1162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x14ac:dyDescent="0.2">
      <c r="E961" s="843" t="s">
        <v>1163</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x14ac:dyDescent="0.2">
      <c r="E962" s="843" t="s">
        <v>1164</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x14ac:dyDescent="0.2">
      <c r="E963" s="843" t="s">
        <v>1165</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x14ac:dyDescent="0.2">
      <c r="E964" s="843" t="s">
        <v>1166</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x14ac:dyDescent="0.2">
      <c r="E965" s="843" t="s">
        <v>1167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x14ac:dyDescent="0.2">
      <c r="E966" s="843" t="s">
        <v>1168</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x14ac:dyDescent="0.2">
      <c r="E967" s="843" t="s">
        <v>1169</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x14ac:dyDescent="0.2">
      <c r="E968" s="843" t="s">
        <v>1170</v>
      </c>
      <c r="F968" s="843" t="str">
        <f>Translations!$B$1371</f>
        <v>Profiles of non-alloy aluminium, n.e.s.</v>
      </c>
      <c r="G968" s="844"/>
      <c r="H968" s="844"/>
      <c r="I968" s="844"/>
      <c r="J968" s="844"/>
      <c r="K968" s="844"/>
      <c r="L968" s="844"/>
      <c r="M968" s="847" t="str">
        <f>Translations!$B$688</f>
        <v>Aluminium products</v>
      </c>
      <c r="N968" s="688"/>
    </row>
    <row r="969" spans="5:14" ht="12.75" customHeight="1" x14ac:dyDescent="0.2">
      <c r="E969" s="843" t="s">
        <v>1171</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x14ac:dyDescent="0.2">
      <c r="E970" s="843" t="s">
        <v>1172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x14ac:dyDescent="0.2">
      <c r="E971" s="843" t="s">
        <v>1173</v>
      </c>
      <c r="F971" s="843" t="str">
        <f>Translations!$B$1374</f>
        <v>Bars and rods of aluminium alloys</v>
      </c>
      <c r="G971" s="844"/>
      <c r="H971" s="844"/>
      <c r="I971" s="844"/>
      <c r="J971" s="844"/>
      <c r="K971" s="844"/>
      <c r="L971" s="844"/>
      <c r="M971" s="847" t="str">
        <f>Translations!$B$688</f>
        <v>Aluminium products</v>
      </c>
      <c r="N971" s="688"/>
    </row>
    <row r="972" spans="5:14" ht="12.75" customHeight="1" x14ac:dyDescent="0.2">
      <c r="E972" s="843" t="s">
        <v>1174</v>
      </c>
      <c r="F972" s="843" t="str">
        <f>Translations!$B$1375</f>
        <v>Solid profiles, of aluminium alloys, n.e.s.</v>
      </c>
      <c r="G972" s="844"/>
      <c r="H972" s="844"/>
      <c r="I972" s="844"/>
      <c r="J972" s="844"/>
      <c r="K972" s="844"/>
      <c r="L972" s="844"/>
      <c r="M972" s="847" t="str">
        <f>Translations!$B$688</f>
        <v>Aluminium products</v>
      </c>
      <c r="N972" s="688"/>
    </row>
    <row r="973" spans="5:14" ht="12.75" customHeight="1" x14ac:dyDescent="0.2">
      <c r="E973" s="843" t="s">
        <v>1175</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x14ac:dyDescent="0.2">
      <c r="E974" s="843" t="s">
        <v>1176</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x14ac:dyDescent="0.2">
      <c r="E975" s="843" t="s">
        <v>1177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x14ac:dyDescent="0.2">
      <c r="E976" s="843" t="s">
        <v>1178</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x14ac:dyDescent="0.2">
      <c r="E977" s="843" t="s">
        <v>1179</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x14ac:dyDescent="0.2">
      <c r="E978" s="843" t="s">
        <v>1180</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x14ac:dyDescent="0.2">
      <c r="E979" s="843" t="s">
        <v>1181</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x14ac:dyDescent="0.2">
      <c r="E980" s="843" t="s">
        <v>1182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x14ac:dyDescent="0.2">
      <c r="E981" s="843" t="s">
        <v>1183</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x14ac:dyDescent="0.2">
      <c r="E982" s="843" t="s">
        <v>1184</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x14ac:dyDescent="0.2">
      <c r="E983" s="843" t="s">
        <v>1185</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x14ac:dyDescent="0.2">
      <c r="E984" s="843" t="s">
        <v>1186</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x14ac:dyDescent="0.2">
      <c r="E985" s="843" t="s">
        <v>1187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x14ac:dyDescent="0.2">
      <c r="E986" s="843" t="s">
        <v>1188</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x14ac:dyDescent="0.2">
      <c r="E987" s="843" t="s">
        <v>1189</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x14ac:dyDescent="0.2">
      <c r="E988" s="843" t="s">
        <v>1190</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x14ac:dyDescent="0.2">
      <c r="E989" s="843" t="s">
        <v>1191</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x14ac:dyDescent="0.2">
      <c r="E990" s="843" t="s">
        <v>1192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x14ac:dyDescent="0.2">
      <c r="E991" s="843" t="s">
        <v>1193</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x14ac:dyDescent="0.2">
      <c r="E992" s="843" t="s">
        <v>1194</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x14ac:dyDescent="0.2">
      <c r="E993" s="843" t="s">
        <v>1195</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x14ac:dyDescent="0.2">
      <c r="E994" s="843" t="s">
        <v>1196</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x14ac:dyDescent="0.2">
      <c r="E995" s="843" t="s">
        <v>1197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x14ac:dyDescent="0.2">
      <c r="E996" s="843" t="s">
        <v>1198</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x14ac:dyDescent="0.2">
      <c r="E997" s="843" t="s">
        <v>1199</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x14ac:dyDescent="0.2">
      <c r="E998" s="843" t="s">
        <v>1200</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x14ac:dyDescent="0.2">
      <c r="E999" s="843" t="s">
        <v>1201</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x14ac:dyDescent="0.2">
      <c r="E1000" s="843" t="s">
        <v>1202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x14ac:dyDescent="0.2">
      <c r="E1001" s="843" t="s">
        <v>1203</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x14ac:dyDescent="0.2">
      <c r="E1002" s="843" t="s">
        <v>1204</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x14ac:dyDescent="0.2">
      <c r="E1003" s="843" t="s">
        <v>1205</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x14ac:dyDescent="0.2">
      <c r="E1004" s="843" t="s">
        <v>1206</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x14ac:dyDescent="0.2">
      <c r="E1005" s="843" t="s">
        <v>1207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x14ac:dyDescent="0.2">
      <c r="E1006" s="843" t="s">
        <v>1208</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x14ac:dyDescent="0.2">
      <c r="E1007" s="843" t="s">
        <v>1209</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x14ac:dyDescent="0.2">
      <c r="E1008" s="843" t="s">
        <v>1210</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x14ac:dyDescent="0.2">
      <c r="E1009" s="843" t="s">
        <v>1211</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x14ac:dyDescent="0.2">
      <c r="E1010" s="843" t="s">
        <v>1212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x14ac:dyDescent="0.2">
      <c r="E1011" s="843" t="s">
        <v>1213</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x14ac:dyDescent="0.2">
      <c r="E1012" s="843" t="s">
        <v>1214</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x14ac:dyDescent="0.2">
      <c r="E1013" s="843" t="s">
        <v>1215</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x14ac:dyDescent="0.2">
      <c r="E1014" s="843" t="s">
        <v>1216</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x14ac:dyDescent="0.2">
      <c r="E1015" s="843" t="s">
        <v>1217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x14ac:dyDescent="0.2">
      <c r="E1016" s="843" t="s">
        <v>1218</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x14ac:dyDescent="0.2">
      <c r="E1017" s="843" t="s">
        <v>1219</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x14ac:dyDescent="0.2">
      <c r="E1018" s="843" t="s">
        <v>1220</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x14ac:dyDescent="0.2">
      <c r="E1019" s="843" t="s">
        <v>1221</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x14ac:dyDescent="0.2">
      <c r="E1020" s="843" t="s">
        <v>1222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x14ac:dyDescent="0.2">
      <c r="E1021" s="843" t="s">
        <v>1223</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x14ac:dyDescent="0.2">
      <c r="E1022" s="843" t="s">
        <v>1224</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x14ac:dyDescent="0.2">
      <c r="E1023" s="843" t="s">
        <v>1225</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x14ac:dyDescent="0.2">
      <c r="E1024" s="843" t="s">
        <v>1226</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x14ac:dyDescent="0.2">
      <c r="E1025" s="843" t="s">
        <v>1227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x14ac:dyDescent="0.2">
      <c r="E1026" s="843" t="s">
        <v>1228</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x14ac:dyDescent="0.2">
      <c r="E1027" s="843" t="s">
        <v>1229</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x14ac:dyDescent="0.2">
      <c r="E1028" s="843" t="s">
        <v>1230</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x14ac:dyDescent="0.2">
      <c r="E1029" s="843" t="s">
        <v>1231</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x14ac:dyDescent="0.2">
      <c r="E1030" s="843" t="s">
        <v>1232</v>
      </c>
      <c r="F1030" s="843" t="str">
        <f>Translations!$B$1433</f>
        <v>Articles of aluminium, n.e.s.</v>
      </c>
      <c r="G1030" s="844"/>
      <c r="H1030" s="844"/>
      <c r="I1030" s="844"/>
      <c r="J1030" s="844"/>
      <c r="K1030" s="844"/>
      <c r="L1030" s="844"/>
      <c r="M1030" s="847" t="str">
        <f>Translations!$B$688</f>
        <v>Aluminium products</v>
      </c>
      <c r="N1030" s="688"/>
    </row>
    <row r="1031" spans="5:14" ht="12.75" customHeight="1" x14ac:dyDescent="0.2">
      <c r="E1031" s="843" t="s">
        <v>1233</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x14ac:dyDescent="0.2">
      <c r="E1032" s="843" t="s">
        <v>1234</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x14ac:dyDescent="0.2">
      <c r="E1033" s="843" t="s">
        <v>1235</v>
      </c>
      <c r="F1033" s="843" t="str">
        <f>Translations!$B$1433</f>
        <v>Articles of aluminium, n.e.s.</v>
      </c>
      <c r="G1033" s="844"/>
      <c r="H1033" s="844"/>
      <c r="I1033" s="844"/>
      <c r="J1033" s="844"/>
      <c r="K1033" s="844"/>
      <c r="L1033" s="844"/>
      <c r="M1033" s="847" t="str">
        <f>Translations!$B$688</f>
        <v>Aluminium products</v>
      </c>
      <c r="N1033" s="688"/>
    </row>
    <row r="1034" spans="5:14" ht="12.75" customHeight="1" x14ac:dyDescent="0.2">
      <c r="E1034" s="843" t="s">
        <v>1236</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x14ac:dyDescent="0.2">
      <c r="E1035" s="845" t="s">
        <v>1237</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03"/>
      <c r="E3091" s="113"/>
      <c r="F3091" s="113"/>
      <c r="G3091" s="113"/>
      <c r="H3091" s="113"/>
      <c r="I3091" s="113"/>
      <c r="J3091" s="113"/>
      <c r="K3091" s="113"/>
      <c r="L3091" s="113"/>
      <c r="M3091" s="113"/>
      <c r="S3091" s="112"/>
    </row>
    <row r="3092" spans="4:19" ht="12.75" customHeight="1" x14ac:dyDescent="0.2">
      <c r="D3092" s="103"/>
      <c r="E3092" s="113"/>
      <c r="F3092" s="113"/>
      <c r="G3092" s="113"/>
      <c r="H3092" s="113"/>
      <c r="I3092" s="113"/>
      <c r="J3092" s="113"/>
      <c r="K3092" s="113"/>
      <c r="L3092" s="113"/>
      <c r="M3092" s="113"/>
      <c r="S3092" s="112"/>
    </row>
    <row r="3093" spans="4:19" ht="12.75" customHeight="1" x14ac:dyDescent="0.2">
      <c r="D3093" s="103"/>
      <c r="E3093" s="113"/>
      <c r="F3093" s="113"/>
      <c r="G3093" s="113"/>
      <c r="H3093" s="113"/>
      <c r="I3093" s="113"/>
      <c r="J3093" s="113"/>
      <c r="K3093" s="113"/>
      <c r="L3093" s="113"/>
      <c r="M3093" s="113"/>
      <c r="S3093" s="112"/>
    </row>
    <row r="3094" spans="4:19" ht="12.75" customHeight="1" x14ac:dyDescent="0.2">
      <c r="D3094" s="103"/>
      <c r="E3094" s="113"/>
      <c r="F3094" s="113"/>
      <c r="G3094" s="113"/>
      <c r="H3094" s="113"/>
      <c r="I3094" s="113"/>
      <c r="J3094" s="113"/>
      <c r="K3094" s="113"/>
      <c r="L3094" s="113"/>
      <c r="M3094" s="113"/>
      <c r="S3094" s="112"/>
    </row>
    <row r="3095" spans="4:19" ht="12.75" customHeight="1" x14ac:dyDescent="0.2">
      <c r="D3095" s="103"/>
      <c r="E3095" s="113"/>
      <c r="F3095" s="113"/>
      <c r="G3095" s="113"/>
      <c r="H3095" s="113"/>
      <c r="I3095" s="113"/>
      <c r="J3095" s="113"/>
      <c r="K3095" s="113"/>
      <c r="L3095" s="113"/>
      <c r="M3095" s="113"/>
      <c r="S3095" s="112"/>
    </row>
    <row r="3096" spans="4:19" ht="12.75" customHeight="1" x14ac:dyDescent="0.2">
      <c r="D3096" s="103"/>
      <c r="E3096" s="113"/>
      <c r="F3096" s="113"/>
      <c r="G3096" s="113"/>
      <c r="H3096" s="113"/>
      <c r="I3096" s="113"/>
      <c r="J3096" s="113"/>
      <c r="K3096" s="113"/>
      <c r="L3096" s="113"/>
      <c r="M3096" s="113"/>
      <c r="S3096" s="112"/>
    </row>
    <row r="3097" spans="4:19" ht="12.75" customHeight="1" x14ac:dyDescent="0.2">
      <c r="D3097" s="103"/>
      <c r="E3097" s="113"/>
      <c r="F3097" s="113"/>
      <c r="G3097" s="113"/>
      <c r="H3097" s="113"/>
      <c r="I3097" s="113"/>
      <c r="J3097" s="113"/>
      <c r="K3097" s="113"/>
      <c r="L3097" s="113"/>
      <c r="M3097" s="113"/>
      <c r="S3097" s="112"/>
    </row>
    <row r="3098" spans="4:19" ht="12.75" customHeight="1" x14ac:dyDescent="0.2">
      <c r="D3098" s="103"/>
      <c r="E3098" s="113"/>
      <c r="F3098" s="113"/>
      <c r="G3098" s="113"/>
      <c r="H3098" s="113"/>
      <c r="I3098" s="113"/>
      <c r="J3098" s="113"/>
      <c r="K3098" s="113"/>
      <c r="L3098" s="113"/>
      <c r="M3098" s="113"/>
      <c r="S3098" s="112"/>
    </row>
    <row r="3099" spans="4:19" ht="12.75" customHeight="1" x14ac:dyDescent="0.2">
      <c r="D3099" s="103"/>
      <c r="E3099" s="113"/>
      <c r="F3099" s="113"/>
      <c r="G3099" s="113"/>
      <c r="H3099" s="113"/>
      <c r="I3099" s="113"/>
      <c r="J3099" s="113"/>
      <c r="K3099" s="113"/>
      <c r="L3099" s="113"/>
      <c r="M3099" s="113"/>
      <c r="S3099" s="112"/>
    </row>
    <row r="3100" spans="4:19" ht="12.75" customHeight="1" x14ac:dyDescent="0.2">
      <c r="D3100" s="103"/>
      <c r="E3100" s="113"/>
      <c r="F3100" s="113"/>
      <c r="G3100" s="113"/>
      <c r="H3100" s="113"/>
      <c r="I3100" s="113"/>
      <c r="J3100" s="113"/>
      <c r="K3100" s="113"/>
      <c r="L3100" s="113"/>
      <c r="M3100" s="113"/>
      <c r="S3100" s="112"/>
    </row>
    <row r="3101" spans="4:19" ht="12.75" customHeight="1" x14ac:dyDescent="0.2">
      <c r="D3101" s="103"/>
      <c r="E3101" s="113"/>
      <c r="F3101" s="113"/>
      <c r="G3101" s="113"/>
      <c r="H3101" s="113"/>
      <c r="I3101" s="113"/>
      <c r="J3101" s="113"/>
      <c r="K3101" s="113"/>
      <c r="L3101" s="113"/>
      <c r="M3101" s="113"/>
      <c r="S3101" s="112"/>
    </row>
    <row r="3102" spans="4:19" ht="12.75" customHeight="1" x14ac:dyDescent="0.2">
      <c r="D3102" s="103"/>
      <c r="E3102" s="113"/>
      <c r="F3102" s="113"/>
      <c r="G3102" s="113"/>
      <c r="H3102" s="113"/>
      <c r="I3102" s="113"/>
      <c r="J3102" s="113"/>
      <c r="K3102" s="113"/>
      <c r="L3102" s="113"/>
      <c r="M3102" s="113"/>
      <c r="S3102" s="112"/>
    </row>
    <row r="3103" spans="4:19" ht="12.75" customHeight="1" x14ac:dyDescent="0.2">
      <c r="D3103" s="103"/>
      <c r="E3103" s="113"/>
      <c r="F3103" s="113"/>
      <c r="G3103" s="113"/>
      <c r="H3103" s="113"/>
      <c r="I3103" s="113"/>
      <c r="J3103" s="113"/>
      <c r="K3103" s="113"/>
      <c r="L3103" s="113"/>
      <c r="M3103" s="113"/>
      <c r="S3103" s="112"/>
    </row>
    <row r="3104" spans="4:19" ht="12.75" customHeight="1" x14ac:dyDescent="0.2">
      <c r="D3104" s="103"/>
      <c r="E3104" s="113"/>
      <c r="F3104" s="113"/>
      <c r="G3104" s="113"/>
      <c r="H3104" s="113"/>
      <c r="I3104" s="113"/>
      <c r="J3104" s="113"/>
      <c r="K3104" s="113"/>
      <c r="L3104" s="113"/>
      <c r="M3104" s="113"/>
      <c r="S3104" s="112"/>
    </row>
    <row r="3105" spans="1:19" ht="12.75" customHeight="1" x14ac:dyDescent="0.2">
      <c r="D3105" s="103"/>
      <c r="E3105" s="113"/>
      <c r="F3105" s="113"/>
      <c r="G3105" s="113"/>
      <c r="H3105" s="113"/>
      <c r="I3105" s="113"/>
      <c r="J3105" s="113"/>
      <c r="K3105" s="113"/>
      <c r="L3105" s="113"/>
      <c r="M3105" s="113"/>
      <c r="S3105" s="112"/>
    </row>
    <row r="3106" spans="1:19" ht="12.75" customHeight="1" x14ac:dyDescent="0.2">
      <c r="D3106" s="103"/>
      <c r="E3106" s="113"/>
      <c r="F3106" s="113"/>
      <c r="G3106" s="113"/>
      <c r="H3106" s="113"/>
      <c r="I3106" s="113"/>
      <c r="J3106" s="113"/>
      <c r="K3106" s="113"/>
      <c r="L3106" s="113"/>
      <c r="M3106" s="113"/>
      <c r="S3106" s="112"/>
    </row>
    <row r="3107" spans="1:19" ht="12.75" customHeight="1" x14ac:dyDescent="0.2">
      <c r="D3107" s="103"/>
      <c r="E3107" s="113"/>
      <c r="F3107" s="113"/>
      <c r="G3107" s="113"/>
      <c r="H3107" s="113"/>
      <c r="I3107" s="113"/>
      <c r="J3107" s="113"/>
      <c r="K3107" s="113"/>
      <c r="L3107" s="113"/>
      <c r="M3107" s="113"/>
      <c r="S3107" s="112"/>
    </row>
    <row r="3108" spans="1:19" ht="12.75" customHeight="1" x14ac:dyDescent="0.2">
      <c r="D3108" s="103"/>
      <c r="E3108" s="113"/>
      <c r="F3108" s="113"/>
      <c r="G3108" s="113"/>
      <c r="H3108" s="113"/>
      <c r="I3108" s="113"/>
      <c r="J3108" s="113"/>
      <c r="K3108" s="113"/>
      <c r="L3108" s="113"/>
      <c r="M3108" s="113"/>
      <c r="S3108" s="112"/>
    </row>
    <row r="3109" spans="1:19" ht="12.75" customHeight="1" x14ac:dyDescent="0.2">
      <c r="D3109" s="103"/>
      <c r="E3109" s="113"/>
      <c r="F3109" s="113"/>
      <c r="G3109" s="113"/>
      <c r="H3109" s="113"/>
      <c r="I3109" s="113"/>
      <c r="J3109" s="113"/>
      <c r="K3109" s="113"/>
      <c r="L3109" s="113"/>
      <c r="M3109" s="113"/>
      <c r="S3109" s="112"/>
    </row>
    <row r="3110" spans="1:19" ht="12.75" customHeight="1" x14ac:dyDescent="0.2">
      <c r="D3110" s="103"/>
      <c r="E3110" s="113"/>
      <c r="F3110" s="113"/>
      <c r="G3110" s="113"/>
      <c r="H3110" s="113"/>
      <c r="I3110" s="113"/>
      <c r="J3110" s="113"/>
      <c r="K3110" s="113"/>
      <c r="L3110" s="113"/>
      <c r="M3110" s="113"/>
      <c r="S3110" s="112"/>
    </row>
    <row r="3111" spans="1:19" s="89" customFormat="1" ht="12.75" hidden="1" customHeight="1" x14ac:dyDescent="0.25">
      <c r="A3111" s="89" t="s">
        <v>0</v>
      </c>
      <c r="P3111" s="90" t="s">
        <v>7</v>
      </c>
    </row>
    <row r="3112" spans="1:19" s="89" customFormat="1" ht="12.75" hidden="1" customHeight="1" x14ac:dyDescent="0.25">
      <c r="A3112" s="89" t="s">
        <v>0</v>
      </c>
      <c r="P3112" s="90"/>
    </row>
    <row r="3113" spans="1:19" s="89" customFormat="1" ht="12.75" hidden="1" customHeight="1" x14ac:dyDescent="0.25">
      <c r="A3113" s="89" t="s">
        <v>0</v>
      </c>
      <c r="P3113" s="90"/>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honeticPr fontId="68"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35" width="11.42578125" style="89" hidden="1" customWidth="1"/>
    <col min="36" max="16384" width="11.42578125" style="91"/>
  </cols>
  <sheetData>
    <row r="1" spans="1:35" s="89" customFormat="1" ht="14.1" hidden="1" customHeight="1" thickBot="1" x14ac:dyDescent="0.3">
      <c r="A1" s="89" t="s">
        <v>0</v>
      </c>
      <c r="P1" s="90"/>
      <c r="R1" s="89" t="s">
        <v>0</v>
      </c>
      <c r="S1" s="89" t="s">
        <v>0</v>
      </c>
      <c r="T1" s="89" t="s">
        <v>0</v>
      </c>
      <c r="U1" s="89" t="s">
        <v>0</v>
      </c>
      <c r="V1" s="89" t="s">
        <v>0</v>
      </c>
      <c r="W1" s="89" t="s">
        <v>0</v>
      </c>
      <c r="X1" s="89" t="s">
        <v>0</v>
      </c>
      <c r="Y1" s="89" t="s">
        <v>0</v>
      </c>
      <c r="Z1" s="89" t="s">
        <v>0</v>
      </c>
      <c r="AA1" s="89" t="s">
        <v>0</v>
      </c>
      <c r="AB1" s="89" t="s">
        <v>0</v>
      </c>
      <c r="AC1" s="89" t="s">
        <v>0</v>
      </c>
      <c r="AD1" s="89" t="s">
        <v>0</v>
      </c>
      <c r="AE1" s="89" t="s">
        <v>0</v>
      </c>
      <c r="AF1" s="89" t="s">
        <v>0</v>
      </c>
      <c r="AG1" s="89" t="s">
        <v>0</v>
      </c>
      <c r="AH1" s="89" t="s">
        <v>0</v>
      </c>
      <c r="AI1" s="89" t="s">
        <v>0</v>
      </c>
    </row>
    <row r="2" spans="1:35" ht="14.1" customHeight="1" thickBot="1" x14ac:dyDescent="0.3">
      <c r="B2" s="1073" t="str">
        <f>Translations!$B$64</f>
        <v>InstData</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ADDRESS(ROW($B$6),COLUMN($B$55)) &amp; ":" &amp; ADDRESS(MATCH("PRINT",$P:$P,0),COLUMN($O$55))</f>
        <v>$B$6:$O$122</v>
      </c>
      <c r="T2" s="89" t="s">
        <v>2</v>
      </c>
      <c r="U2" s="102" t="str">
        <f ca="1">IF(ISERROR(CELL("filename",V2)),"MSParameters",MID(CELL("filename",V2),FIND("]",CELL("filename",V2))+1,1024))</f>
        <v>A_InstData</v>
      </c>
    </row>
    <row r="3" spans="1:35" ht="14.1" customHeight="1" x14ac:dyDescent="0.25">
      <c r="B3" s="1076"/>
      <c r="C3" s="1077"/>
      <c r="D3" s="1078"/>
      <c r="E3" s="1068"/>
      <c r="F3" s="1068"/>
      <c r="G3" s="1068" t="str">
        <f>IFERROR(HYPERLINK("#"&amp;ADDRESS(ROW($A$1)+MATCH(R3,$A:$A,0)-1,3),INDEX($R:$R,MATCH(R3,$A:$A,0))),"")</f>
        <v>Reporting period</v>
      </c>
      <c r="H3" s="1068"/>
      <c r="I3" s="1068" t="str">
        <f>IFERROR(HYPERLINK("#"&amp;ADDRESS(ROW($A$1)+MATCH(T3,$A:$A,0)-1,3),INDEX($R:$R,MATCH(T3,$A:$A,0))),"")</f>
        <v>About the installation</v>
      </c>
      <c r="J3" s="1068"/>
      <c r="K3" s="1068" t="str">
        <f>IFERROR(HYPERLINK("#"&amp;ADDRESS(ROW($A$1)+MATCH(V3,$A:$A,0)-1,3),INDEX($R:$R,MATCH(V3,$A:$A,0))),"")</f>
        <v>Verifier</v>
      </c>
      <c r="L3" s="1068"/>
      <c r="M3" s="1068" t="str">
        <f>IFERROR(HYPERLINK("#"&amp;ADDRESS(ROW($A$1)+MATCH(X3,$A:$A,0)-1,3),INDEX($R:$R,MATCH(X3,$A:$A,0))),"")</f>
        <v>Goods &amp; precursors</v>
      </c>
      <c r="N3" s="1068"/>
      <c r="R3" s="306">
        <v>1</v>
      </c>
      <c r="S3" s="307"/>
      <c r="T3" s="307">
        <v>2</v>
      </c>
      <c r="U3" s="307"/>
      <c r="V3" s="307">
        <v>3</v>
      </c>
      <c r="W3" s="307"/>
      <c r="X3" s="308">
        <v>4</v>
      </c>
    </row>
    <row r="4" spans="1:35" ht="14.1" customHeight="1" thickBot="1" x14ac:dyDescent="0.3">
      <c r="B4" s="1079"/>
      <c r="C4" s="1080"/>
      <c r="D4" s="1081"/>
      <c r="E4" s="1068"/>
      <c r="F4" s="1068"/>
      <c r="G4" s="1068" t="str">
        <f>IFERROR(HYPERLINK("#"&amp;ADDRESS(ROW($A$1)+MATCH(R4,$A:$A,0)-1,3),INDEX($R:$R,MATCH(R4,$A:$A,0))),"")</f>
        <v>Purchased precursors</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35" ht="5.0999999999999996" customHeight="1" x14ac:dyDescent="0.25"/>
    <row r="6" spans="1:35" ht="25.5" customHeight="1" x14ac:dyDescent="0.25">
      <c r="C6" s="106" t="s">
        <v>12</v>
      </c>
      <c r="E6" s="106" t="str">
        <f>Translations!$B$65</f>
        <v xml:space="preserve">Sheet "A_InstData" - General information, production processes and purchased precursors </v>
      </c>
      <c r="R6" s="105" t="s">
        <v>19</v>
      </c>
      <c r="T6" s="126"/>
      <c r="U6" s="126"/>
      <c r="W6" s="104"/>
      <c r="AG6" s="105" t="str">
        <f>Translations!$B$66</f>
        <v>Errors</v>
      </c>
      <c r="AI6" s="105" t="s">
        <v>21</v>
      </c>
    </row>
    <row r="7" spans="1:35" ht="12.75" customHeight="1" x14ac:dyDescent="0.25"/>
    <row r="8" spans="1:35" ht="5.0999999999999996" customHeight="1" x14ac:dyDescent="0.25">
      <c r="C8" s="107"/>
      <c r="D8" s="108"/>
      <c r="E8" s="108"/>
      <c r="F8" s="109"/>
      <c r="G8" s="109"/>
      <c r="H8" s="110"/>
      <c r="I8" s="109"/>
      <c r="J8" s="109"/>
      <c r="K8" s="110"/>
      <c r="L8" s="109"/>
      <c r="M8" s="109"/>
      <c r="N8" s="109"/>
    </row>
    <row r="9" spans="1:35" ht="24.95" customHeight="1" x14ac:dyDescent="0.25">
      <c r="A9" s="105">
        <f>C9</f>
        <v>1</v>
      </c>
      <c r="C9" s="107">
        <v>1</v>
      </c>
      <c r="D9" s="111" t="str">
        <f>Translations!$B$67</f>
        <v>Reporting period</v>
      </c>
      <c r="E9" s="111"/>
      <c r="F9" s="109"/>
      <c r="G9" s="109"/>
      <c r="H9" s="110" t="str">
        <f>Translations!$B$68</f>
        <v>Start:</v>
      </c>
      <c r="I9" s="1164"/>
      <c r="J9" s="1164"/>
      <c r="K9" s="110" t="str">
        <f>Translations!$B$69</f>
        <v>End:</v>
      </c>
      <c r="L9" s="1164"/>
      <c r="M9" s="1164"/>
      <c r="N9" s="109"/>
      <c r="R9" s="102" t="str">
        <f>D9</f>
        <v>Reporting period</v>
      </c>
      <c r="AG9" s="102" t="str">
        <f>IF(AND(CNTR_HasEntriesA,COUNTA(I9,L9)&lt;2),CONST_ErrorOrMissing&amp;A9,CONST_NA)</f>
        <v>n.a.</v>
      </c>
    </row>
    <row r="10" spans="1:35" ht="5.0999999999999996" customHeight="1" x14ac:dyDescent="0.25">
      <c r="C10" s="107"/>
      <c r="D10" s="108"/>
      <c r="E10" s="108"/>
      <c r="F10" s="109"/>
      <c r="G10" s="109"/>
      <c r="H10" s="110"/>
      <c r="I10" s="109"/>
      <c r="J10" s="109"/>
      <c r="K10" s="110"/>
      <c r="L10" s="109"/>
      <c r="M10" s="109"/>
      <c r="N10" s="109"/>
    </row>
    <row r="11" spans="1:35" ht="5.0999999999999996" customHeight="1" x14ac:dyDescent="0.25"/>
    <row r="12" spans="1:35" ht="5.0999999999999996" customHeight="1" x14ac:dyDescent="0.25">
      <c r="D12" s="510"/>
      <c r="E12" s="510"/>
      <c r="F12" s="510"/>
      <c r="G12" s="510"/>
      <c r="H12" s="510"/>
      <c r="I12" s="510"/>
      <c r="J12" s="510"/>
      <c r="K12" s="510"/>
      <c r="L12" s="510"/>
      <c r="M12" s="510"/>
      <c r="N12" s="510"/>
    </row>
    <row r="13" spans="1:35" ht="25.5" customHeight="1" x14ac:dyDescent="0.25">
      <c r="D13" s="510"/>
      <c r="E13" s="1156"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56"/>
      <c r="G13" s="1156"/>
      <c r="H13" s="1156"/>
      <c r="I13" s="1156"/>
      <c r="J13" s="1156"/>
      <c r="K13" s="1156"/>
      <c r="L13" s="1156"/>
      <c r="M13" s="1156"/>
      <c r="N13" s="1156"/>
    </row>
    <row r="14" spans="1:35" ht="12.75" customHeight="1" x14ac:dyDescent="0.25">
      <c r="D14" s="510"/>
      <c r="E14" s="1163" t="str">
        <f>Translations!$B$71</f>
        <v>It is important that all data entered in this template (embedded emissions, carbon price due, product properties, etc.) all relate to that same reporting period entered above.</v>
      </c>
      <c r="F14" s="1163"/>
      <c r="G14" s="1163"/>
      <c r="H14" s="1163"/>
      <c r="I14" s="1163"/>
      <c r="J14" s="1163"/>
      <c r="K14" s="1163"/>
      <c r="L14" s="1163"/>
      <c r="M14" s="1163"/>
      <c r="N14" s="1163"/>
    </row>
    <row r="15" spans="1:35" ht="5.0999999999999996" customHeight="1" x14ac:dyDescent="0.25">
      <c r="D15" s="510"/>
      <c r="E15" s="883"/>
      <c r="F15" s="883"/>
      <c r="G15" s="883"/>
      <c r="H15" s="883"/>
      <c r="I15" s="883"/>
      <c r="J15" s="883"/>
      <c r="K15" s="883"/>
      <c r="L15" s="883"/>
      <c r="M15" s="883"/>
      <c r="N15" s="883"/>
    </row>
    <row r="16" spans="1:35" ht="12.75" customHeight="1" x14ac:dyDescent="0.25"/>
    <row r="17" spans="1:33" ht="18" customHeight="1" x14ac:dyDescent="0.25">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x14ac:dyDescent="0.25">
      <c r="D18" s="9"/>
      <c r="E18" s="9"/>
      <c r="F18" s="9"/>
      <c r="G18" s="9"/>
      <c r="H18" s="9"/>
      <c r="I18" s="9"/>
      <c r="J18" s="9"/>
      <c r="K18" s="9"/>
      <c r="L18" s="9"/>
      <c r="M18" s="9"/>
      <c r="N18" s="9"/>
    </row>
    <row r="19" spans="1:33" ht="12.75" customHeight="1" x14ac:dyDescent="0.2">
      <c r="D19" s="10" t="s">
        <v>1238</v>
      </c>
      <c r="E19" s="1109" t="str">
        <f>Translations!$B$73</f>
        <v>Name of the installation (optional):</v>
      </c>
      <c r="F19" s="1109"/>
      <c r="G19" s="1109"/>
      <c r="H19" s="1110"/>
      <c r="I19" s="1111"/>
      <c r="J19" s="1112"/>
      <c r="K19" s="1112"/>
      <c r="L19" s="1112"/>
      <c r="M19" s="1112"/>
      <c r="N19" s="1113"/>
      <c r="AG19" s="102"/>
    </row>
    <row r="20" spans="1:33" ht="12.75" customHeight="1" x14ac:dyDescent="0.2">
      <c r="D20" s="10" t="s">
        <v>1239</v>
      </c>
      <c r="E20" s="1125" t="str">
        <f>Translations!$B$74</f>
        <v>Name of the installation (English name):</v>
      </c>
      <c r="F20" s="1125"/>
      <c r="G20" s="1125"/>
      <c r="H20" s="1159"/>
      <c r="I20" s="1160"/>
      <c r="J20" s="1161"/>
      <c r="K20" s="1161"/>
      <c r="L20" s="1161"/>
      <c r="M20" s="1161"/>
      <c r="N20" s="1162"/>
      <c r="AG20" s="102" t="str">
        <f>IF(AND(CNTR_HasEntriesA,I20=""),CONST_ErrorOrMissing&amp;A17,CONST_NA)</f>
        <v>n.a.</v>
      </c>
    </row>
    <row r="21" spans="1:33" ht="12.75" customHeight="1" x14ac:dyDescent="0.2">
      <c r="D21" s="10" t="s">
        <v>1240</v>
      </c>
      <c r="E21" s="1157" t="str">
        <f>Translations!$B$75</f>
        <v>Street, Number:</v>
      </c>
      <c r="F21" s="1157"/>
      <c r="G21" s="1157"/>
      <c r="H21" s="1158"/>
      <c r="I21" s="1114"/>
      <c r="J21" s="1115"/>
      <c r="K21" s="1115"/>
      <c r="L21" s="1115"/>
      <c r="M21" s="1115"/>
      <c r="N21" s="1116"/>
    </row>
    <row r="22" spans="1:33" ht="12.75" customHeight="1" x14ac:dyDescent="0.2">
      <c r="D22" s="10" t="s">
        <v>1241</v>
      </c>
      <c r="E22" s="1157" t="str">
        <f>Translations!$B$76</f>
        <v>Economic activity:</v>
      </c>
      <c r="F22" s="1157"/>
      <c r="G22" s="1157"/>
      <c r="H22" s="1158"/>
      <c r="I22" s="1114"/>
      <c r="J22" s="1115"/>
      <c r="K22" s="1115"/>
      <c r="L22" s="1115"/>
      <c r="M22" s="1115"/>
      <c r="N22" s="1116"/>
    </row>
    <row r="23" spans="1:33" ht="12.75" customHeight="1" x14ac:dyDescent="0.2">
      <c r="D23" s="10" t="s">
        <v>1242</v>
      </c>
      <c r="E23" s="1157" t="str">
        <f>Translations!$B$77</f>
        <v>Post code:</v>
      </c>
      <c r="F23" s="1157"/>
      <c r="G23" s="1157"/>
      <c r="H23" s="1158"/>
      <c r="I23" s="1114"/>
      <c r="J23" s="1115"/>
      <c r="K23" s="1115"/>
      <c r="L23" s="1115"/>
      <c r="M23" s="1115"/>
      <c r="N23" s="1116"/>
    </row>
    <row r="24" spans="1:33" ht="12.75" customHeight="1" x14ac:dyDescent="0.2">
      <c r="D24" s="10" t="s">
        <v>1243</v>
      </c>
      <c r="E24" s="1157" t="str">
        <f>Translations!$B$78</f>
        <v>P.O. Box:</v>
      </c>
      <c r="F24" s="1157"/>
      <c r="G24" s="1157"/>
      <c r="H24" s="1158"/>
      <c r="I24" s="1114"/>
      <c r="J24" s="1115"/>
      <c r="K24" s="1115"/>
      <c r="L24" s="1115"/>
      <c r="M24" s="1115"/>
      <c r="N24" s="1116"/>
    </row>
    <row r="25" spans="1:33" ht="12.75" customHeight="1" x14ac:dyDescent="0.2">
      <c r="D25" s="10" t="s">
        <v>1244</v>
      </c>
      <c r="E25" s="1157" t="str">
        <f>Translations!$B$79</f>
        <v>City:</v>
      </c>
      <c r="F25" s="1157"/>
      <c r="G25" s="1157"/>
      <c r="H25" s="1158"/>
      <c r="I25" s="1114"/>
      <c r="J25" s="1115"/>
      <c r="K25" s="1115"/>
      <c r="L25" s="1115"/>
      <c r="M25" s="1115"/>
      <c r="N25" s="1116"/>
    </row>
    <row r="26" spans="1:33" ht="12.75" customHeight="1" x14ac:dyDescent="0.2">
      <c r="D26" s="10" t="s">
        <v>1245</v>
      </c>
      <c r="E26" s="1157" t="str">
        <f>Translations!$B$80</f>
        <v>Country:</v>
      </c>
      <c r="F26" s="1157"/>
      <c r="G26" s="1157"/>
      <c r="H26" s="1158"/>
      <c r="I26" s="1117"/>
      <c r="J26" s="1118"/>
      <c r="K26" s="1118"/>
      <c r="L26" s="1118"/>
      <c r="M26" s="1118"/>
      <c r="N26" s="1119"/>
      <c r="S26" s="105" t="str">
        <f>IF(I26="","",INDEX(CNTR_ListCountriesCode,MATCH(I26,CNTR_ListCountriesName,0)))</f>
        <v/>
      </c>
      <c r="AG26" s="102" t="str">
        <f>IF(AND(CNTR_HasEntriesA,I26=""),CONST_ErrorOrMissing&amp;A17,CONST_NA)</f>
        <v>n.a.</v>
      </c>
    </row>
    <row r="27" spans="1:33" ht="12.75" customHeight="1" x14ac:dyDescent="0.2">
      <c r="D27" s="10" t="s">
        <v>1246</v>
      </c>
      <c r="E27" s="1157" t="str">
        <f>Translations!$B$81</f>
        <v>UNLOCODE:</v>
      </c>
      <c r="F27" s="1157"/>
      <c r="G27" s="1157"/>
      <c r="H27" s="1158"/>
      <c r="I27" s="1117"/>
      <c r="J27" s="1118"/>
      <c r="K27" s="1118"/>
      <c r="L27" s="1118"/>
      <c r="M27" s="1118"/>
      <c r="N27" s="1119"/>
    </row>
    <row r="28" spans="1:33" ht="12.75" customHeight="1" x14ac:dyDescent="0.2">
      <c r="D28" s="10" t="s">
        <v>1247</v>
      </c>
      <c r="E28" s="1157" t="str">
        <f>Translations!$B$82</f>
        <v>Coordinates of the main emission source (latitude):</v>
      </c>
      <c r="F28" s="1157"/>
      <c r="G28" s="1157"/>
      <c r="H28" s="1158"/>
      <c r="I28" s="1114"/>
      <c r="J28" s="1115"/>
      <c r="K28" s="1115"/>
      <c r="L28" s="1115"/>
      <c r="M28" s="1115"/>
      <c r="N28" s="1116"/>
    </row>
    <row r="29" spans="1:33" ht="12.75" customHeight="1" x14ac:dyDescent="0.2">
      <c r="D29" s="10" t="s">
        <v>1248</v>
      </c>
      <c r="E29" s="1157" t="str">
        <f>Translations!$B$83</f>
        <v>Coordinates of the main emission source (longitude):</v>
      </c>
      <c r="F29" s="1157"/>
      <c r="G29" s="1157"/>
      <c r="H29" s="1158"/>
      <c r="I29" s="1114"/>
      <c r="J29" s="1115"/>
      <c r="K29" s="1115"/>
      <c r="L29" s="1115"/>
      <c r="M29" s="1115"/>
      <c r="N29" s="1116"/>
    </row>
    <row r="30" spans="1:33" ht="12.75" customHeight="1" x14ac:dyDescent="0.2">
      <c r="D30" s="10" t="s">
        <v>1249</v>
      </c>
      <c r="E30" s="1157" t="str">
        <f>Translations!$B$84</f>
        <v>Name of authorized representative:</v>
      </c>
      <c r="F30" s="1157"/>
      <c r="G30" s="1157"/>
      <c r="H30" s="1158"/>
      <c r="I30" s="1114"/>
      <c r="J30" s="1115"/>
      <c r="K30" s="1115"/>
      <c r="L30" s="1115"/>
      <c r="M30" s="1115"/>
      <c r="N30" s="1116"/>
    </row>
    <row r="31" spans="1:33" ht="12.75" customHeight="1" x14ac:dyDescent="0.2">
      <c r="D31" s="10" t="s">
        <v>1250</v>
      </c>
      <c r="E31" s="884" t="str">
        <f>Translations!$B$85</f>
        <v>Email:</v>
      </c>
      <c r="F31" s="884"/>
      <c r="G31" s="884"/>
      <c r="H31" s="885"/>
      <c r="I31" s="1114"/>
      <c r="J31" s="1115"/>
      <c r="K31" s="1115"/>
      <c r="L31" s="1115"/>
      <c r="M31" s="1115"/>
      <c r="N31" s="1116"/>
    </row>
    <row r="32" spans="1:33" ht="12.75" customHeight="1" x14ac:dyDescent="0.2">
      <c r="D32" s="10" t="s">
        <v>1251</v>
      </c>
      <c r="E32" s="887" t="str">
        <f>Translations!$B$86</f>
        <v>Telephone:</v>
      </c>
      <c r="F32" s="887"/>
      <c r="G32" s="887"/>
      <c r="H32" s="11"/>
      <c r="I32" s="1120"/>
      <c r="J32" s="1121"/>
      <c r="K32" s="1121"/>
      <c r="L32" s="1121"/>
      <c r="M32" s="1121"/>
      <c r="N32" s="1122"/>
    </row>
    <row r="33" spans="1:18" ht="12.75" customHeight="1" x14ac:dyDescent="0.25"/>
    <row r="34" spans="1:18" ht="18" customHeight="1" x14ac:dyDescent="0.25">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x14ac:dyDescent="0.25">
      <c r="D35" s="9"/>
      <c r="E35" s="9"/>
      <c r="F35" s="9"/>
      <c r="G35" s="9"/>
      <c r="H35" s="9"/>
      <c r="I35" s="9"/>
      <c r="J35" s="9"/>
      <c r="K35" s="9"/>
      <c r="L35" s="9"/>
      <c r="M35" s="9"/>
      <c r="N35" s="9"/>
    </row>
    <row r="36" spans="1:18" ht="12.75" customHeight="1" x14ac:dyDescent="0.25">
      <c r="D36" s="9" t="s">
        <v>1252</v>
      </c>
      <c r="E36" s="1123" t="str">
        <f>Translations!$B$89</f>
        <v>Name and address of the verifier of this report:</v>
      </c>
      <c r="F36" s="1123"/>
      <c r="G36" s="1123"/>
      <c r="H36" s="1123"/>
      <c r="I36" s="1123"/>
      <c r="J36" s="1123"/>
      <c r="K36" s="1123"/>
      <c r="L36" s="1123"/>
      <c r="M36" s="1123"/>
      <c r="N36" s="1123"/>
    </row>
    <row r="37" spans="1:18" ht="12.75" customHeight="1" x14ac:dyDescent="0.2">
      <c r="D37" s="10" t="s">
        <v>1238</v>
      </c>
      <c r="E37" s="1109" t="str">
        <f>Translations!$B$90</f>
        <v>Company Name:</v>
      </c>
      <c r="F37" s="1109"/>
      <c r="G37" s="1109"/>
      <c r="H37" s="1109"/>
      <c r="I37" s="1111"/>
      <c r="J37" s="1112"/>
      <c r="K37" s="1112"/>
      <c r="L37" s="1112"/>
      <c r="M37" s="1112"/>
      <c r="N37" s="1113"/>
    </row>
    <row r="38" spans="1:18" ht="12.75" customHeight="1" x14ac:dyDescent="0.2">
      <c r="D38" s="10" t="s">
        <v>1239</v>
      </c>
      <c r="E38" s="1125" t="str">
        <f>Translations!$B$75</f>
        <v>Street, Number:</v>
      </c>
      <c r="F38" s="1125"/>
      <c r="G38" s="1125"/>
      <c r="H38" s="1125"/>
      <c r="I38" s="1114"/>
      <c r="J38" s="1115"/>
      <c r="K38" s="1115"/>
      <c r="L38" s="1115"/>
      <c r="M38" s="1115"/>
      <c r="N38" s="1116"/>
    </row>
    <row r="39" spans="1:18" ht="12.75" customHeight="1" x14ac:dyDescent="0.2">
      <c r="D39" s="10" t="s">
        <v>1240</v>
      </c>
      <c r="E39" s="1125" t="str">
        <f>Translations!$B$79</f>
        <v>City:</v>
      </c>
      <c r="F39" s="1125"/>
      <c r="G39" s="1125"/>
      <c r="H39" s="1125"/>
      <c r="I39" s="1114"/>
      <c r="J39" s="1115"/>
      <c r="K39" s="1115"/>
      <c r="L39" s="1115"/>
      <c r="M39" s="1115"/>
      <c r="N39" s="1116"/>
    </row>
    <row r="40" spans="1:18" ht="12.75" customHeight="1" x14ac:dyDescent="0.2">
      <c r="D40" s="10" t="s">
        <v>1241</v>
      </c>
      <c r="E40" s="1125" t="str">
        <f>Translations!$B$91</f>
        <v>Postcode/ZIP:</v>
      </c>
      <c r="F40" s="1125"/>
      <c r="G40" s="1125"/>
      <c r="H40" s="1125"/>
      <c r="I40" s="1114"/>
      <c r="J40" s="1115"/>
      <c r="K40" s="1115"/>
      <c r="L40" s="1115"/>
      <c r="M40" s="1115"/>
      <c r="N40" s="1116"/>
    </row>
    <row r="41" spans="1:18" ht="12.75" customHeight="1" x14ac:dyDescent="0.2">
      <c r="D41" s="10" t="s">
        <v>1242</v>
      </c>
      <c r="E41" s="1126" t="str">
        <f>Translations!$B$80</f>
        <v>Country:</v>
      </c>
      <c r="F41" s="1126"/>
      <c r="G41" s="1126"/>
      <c r="H41" s="1126"/>
      <c r="I41" s="1120"/>
      <c r="J41" s="1121"/>
      <c r="K41" s="1121"/>
      <c r="L41" s="1121"/>
      <c r="M41" s="1121"/>
      <c r="N41" s="1122"/>
    </row>
    <row r="42" spans="1:18" ht="5.0999999999999996" customHeight="1" x14ac:dyDescent="0.25"/>
    <row r="43" spans="1:18" ht="12.75" customHeight="1" x14ac:dyDescent="0.25">
      <c r="D43" s="9" t="s">
        <v>1253</v>
      </c>
      <c r="E43" s="1123" t="str">
        <f>Translations!$B$92</f>
        <v>Authorised representative of the verifier:</v>
      </c>
      <c r="F43" s="1123"/>
      <c r="G43" s="1123"/>
      <c r="H43" s="1123"/>
      <c r="I43" s="1123"/>
      <c r="J43" s="1123"/>
      <c r="K43" s="1123"/>
      <c r="L43" s="1123"/>
      <c r="M43" s="1123"/>
      <c r="N43" s="1123"/>
    </row>
    <row r="44" spans="1:18" ht="12.75" customHeight="1" x14ac:dyDescent="0.25">
      <c r="E44" s="1124" t="str">
        <f>Translations!$B$93</f>
        <v>The nominated person should be familiar with this report. Ideally it is the lead verifier involved with this report.</v>
      </c>
      <c r="F44" s="1124"/>
      <c r="G44" s="1124"/>
      <c r="H44" s="1124"/>
      <c r="I44" s="1124"/>
      <c r="J44" s="1124"/>
      <c r="K44" s="1124"/>
      <c r="L44" s="1124"/>
      <c r="M44" s="1124"/>
      <c r="N44" s="1124"/>
    </row>
    <row r="45" spans="1:18" ht="12.75" customHeight="1" x14ac:dyDescent="0.2">
      <c r="D45" s="10" t="s">
        <v>1238</v>
      </c>
      <c r="E45" s="1109" t="str">
        <f>Translations!$B$94</f>
        <v>Name:</v>
      </c>
      <c r="F45" s="1109"/>
      <c r="G45" s="1109"/>
      <c r="H45" s="1109"/>
      <c r="I45" s="1111"/>
      <c r="J45" s="1112"/>
      <c r="K45" s="1112"/>
      <c r="L45" s="1112"/>
      <c r="M45" s="1112"/>
      <c r="N45" s="1113"/>
    </row>
    <row r="46" spans="1:18" ht="12.75" customHeight="1" x14ac:dyDescent="0.2">
      <c r="D46" s="10" t="s">
        <v>1239</v>
      </c>
      <c r="E46" s="1125" t="str">
        <f>Translations!$B$95</f>
        <v>Email address:</v>
      </c>
      <c r="F46" s="1125"/>
      <c r="G46" s="1125"/>
      <c r="H46" s="1125"/>
      <c r="I46" s="1114"/>
      <c r="J46" s="1115"/>
      <c r="K46" s="1115"/>
      <c r="L46" s="1115"/>
      <c r="M46" s="1115"/>
      <c r="N46" s="1116"/>
    </row>
    <row r="47" spans="1:18" ht="12.75" customHeight="1" x14ac:dyDescent="0.2">
      <c r="D47" s="10" t="s">
        <v>1240</v>
      </c>
      <c r="E47" s="1125" t="str">
        <f>Translations!$B$96</f>
        <v>Telephone number:</v>
      </c>
      <c r="F47" s="1125"/>
      <c r="G47" s="1125"/>
      <c r="H47" s="1125"/>
      <c r="I47" s="1114"/>
      <c r="J47" s="1115"/>
      <c r="K47" s="1115"/>
      <c r="L47" s="1115"/>
      <c r="M47" s="1115"/>
      <c r="N47" s="1116"/>
    </row>
    <row r="48" spans="1:18" ht="12.75" customHeight="1" x14ac:dyDescent="0.2">
      <c r="D48" s="10" t="s">
        <v>1241</v>
      </c>
      <c r="E48" s="1126" t="str">
        <f>Translations!$B$97</f>
        <v>Fax:</v>
      </c>
      <c r="F48" s="1126"/>
      <c r="G48" s="1126"/>
      <c r="H48" s="1126"/>
      <c r="I48" s="1120"/>
      <c r="J48" s="1121"/>
      <c r="K48" s="1121"/>
      <c r="L48" s="1121"/>
      <c r="M48" s="1121"/>
      <c r="N48" s="1122"/>
    </row>
    <row r="49" spans="1:35" ht="5.0999999999999996" customHeight="1" x14ac:dyDescent="0.25"/>
    <row r="50" spans="1:35" ht="12.75" customHeight="1" x14ac:dyDescent="0.25">
      <c r="D50" s="9" t="s">
        <v>1254</v>
      </c>
      <c r="E50" s="1123" t="str">
        <f>Translations!$B$98</f>
        <v>Information about the verifier's accreditation:</v>
      </c>
      <c r="F50" s="1123"/>
      <c r="G50" s="1123"/>
      <c r="H50" s="1123"/>
      <c r="I50" s="1123"/>
      <c r="J50" s="1123"/>
      <c r="K50" s="1123"/>
      <c r="L50" s="1123"/>
      <c r="M50" s="1123"/>
      <c r="N50" s="1123"/>
    </row>
    <row r="51" spans="1:35" ht="12.75" customHeight="1" x14ac:dyDescent="0.2">
      <c r="D51" s="10" t="s">
        <v>1238</v>
      </c>
      <c r="E51" s="1109" t="str">
        <f>Translations!$B$99</f>
        <v>Accreditation Member State:</v>
      </c>
      <c r="F51" s="1109"/>
      <c r="G51" s="1109"/>
      <c r="H51" s="1109"/>
      <c r="I51" s="1111"/>
      <c r="J51" s="1112"/>
      <c r="K51" s="1112"/>
      <c r="L51" s="1112"/>
      <c r="M51" s="1112"/>
      <c r="N51" s="1113"/>
    </row>
    <row r="52" spans="1:35" ht="12.75" customHeight="1" x14ac:dyDescent="0.2">
      <c r="D52" s="10" t="s">
        <v>1239</v>
      </c>
      <c r="E52" s="1125" t="str">
        <f>Translations!$B$100</f>
        <v>Name of the national accreditation body:</v>
      </c>
      <c r="F52" s="1125"/>
      <c r="G52" s="1125"/>
      <c r="H52" s="1125"/>
      <c r="I52" s="1114"/>
      <c r="J52" s="1115"/>
      <c r="K52" s="1115"/>
      <c r="L52" s="1115"/>
      <c r="M52" s="1115"/>
      <c r="N52" s="1116"/>
    </row>
    <row r="53" spans="1:35" ht="12.75" customHeight="1" x14ac:dyDescent="0.2">
      <c r="D53" s="10" t="s">
        <v>1240</v>
      </c>
      <c r="E53" s="1126" t="str">
        <f>Translations!$B$101</f>
        <v>Registration number issued by the Accreditation body:</v>
      </c>
      <c r="F53" s="1126"/>
      <c r="G53" s="1126"/>
      <c r="H53" s="1126"/>
      <c r="I53" s="1120"/>
      <c r="J53" s="1121"/>
      <c r="K53" s="1121"/>
      <c r="L53" s="1121"/>
      <c r="M53" s="1121"/>
      <c r="N53" s="1122"/>
    </row>
    <row r="54" spans="1:35" ht="12.75" customHeight="1" x14ac:dyDescent="0.25"/>
    <row r="55" spans="1:35" ht="18" customHeight="1" x14ac:dyDescent="0.25">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x14ac:dyDescent="0.25"/>
    <row r="57" spans="1:35" ht="12.75" customHeight="1" x14ac:dyDescent="0.25">
      <c r="D57" s="9" t="s">
        <v>1252</v>
      </c>
      <c r="E57" s="1123" t="str">
        <f>Translations!$B$104</f>
        <v>List of aggregated goods categories, relevant precursors and corresponding production routes</v>
      </c>
      <c r="F57" s="1123"/>
      <c r="G57" s="1123"/>
      <c r="H57" s="1123"/>
      <c r="I57" s="1123"/>
      <c r="J57" s="1123"/>
      <c r="K57" s="1123"/>
      <c r="L57" s="1123"/>
      <c r="M57" s="1123"/>
      <c r="N57" s="1123"/>
    </row>
    <row r="58" spans="1:35" ht="12.75" customHeight="1" x14ac:dyDescent="0.2">
      <c r="E58" s="1129" t="str">
        <f>Translations!$B$105</f>
        <v>Please list here ALL aggregated goods categories, including any relevant precursor types produced WITHIN the installation.</v>
      </c>
      <c r="F58" s="1129"/>
      <c r="G58" s="1129"/>
      <c r="H58" s="1129"/>
      <c r="I58" s="1129"/>
      <c r="J58" s="1129"/>
      <c r="K58" s="1129"/>
      <c r="L58" s="1129"/>
      <c r="M58" s="1129"/>
      <c r="N58" s="1129"/>
      <c r="S58" s="112"/>
    </row>
    <row r="59" spans="1:35" ht="12.75" customHeight="1" x14ac:dyDescent="0.2">
      <c r="E59" s="1129" t="str">
        <f>Translations!$B$106</f>
        <v>Where relevant, please list all production routes through which the aggregated goods are produced.</v>
      </c>
      <c r="F59" s="1129"/>
      <c r="G59" s="1129"/>
      <c r="H59" s="1129"/>
      <c r="I59" s="1129"/>
      <c r="J59" s="1129"/>
      <c r="K59" s="1129"/>
      <c r="L59" s="1129"/>
      <c r="M59" s="1129"/>
      <c r="N59" s="1129"/>
      <c r="S59" s="112"/>
    </row>
    <row r="60" spans="1:35" ht="5.0999999999999996" customHeight="1" x14ac:dyDescent="0.2">
      <c r="D60" s="103"/>
      <c r="E60" s="113"/>
      <c r="F60" s="113"/>
      <c r="G60" s="113"/>
      <c r="H60" s="113"/>
      <c r="I60" s="113"/>
      <c r="J60" s="113"/>
      <c r="K60" s="113"/>
      <c r="L60" s="113"/>
      <c r="M60" s="113"/>
    </row>
    <row r="61" spans="1:35" ht="12.75" customHeight="1" x14ac:dyDescent="0.2">
      <c r="D61" s="114" t="s">
        <v>244</v>
      </c>
      <c r="E61" s="1167" t="str">
        <f>Translations!$B$107</f>
        <v>Aggregated goods category</v>
      </c>
      <c r="F61" s="1167"/>
      <c r="G61" s="1069" t="str">
        <f>Translations!$B$108</f>
        <v>Route</v>
      </c>
      <c r="H61" s="1169"/>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1255</v>
      </c>
      <c r="S61" s="116" t="str">
        <f>CONST_OnlyDirProd</f>
        <v>Only direct production</v>
      </c>
      <c r="W61" s="117" t="s">
        <v>1256</v>
      </c>
      <c r="X61" s="117" t="s">
        <v>1257</v>
      </c>
      <c r="Y61" s="117" t="s">
        <v>1258</v>
      </c>
      <c r="Z61" s="117" t="s">
        <v>1259</v>
      </c>
      <c r="AA61" s="117" t="s">
        <v>1260</v>
      </c>
      <c r="AB61" s="117" t="s">
        <v>1261</v>
      </c>
      <c r="AC61" s="117" t="s">
        <v>1262</v>
      </c>
      <c r="AE61" s="118" t="s">
        <v>1263</v>
      </c>
    </row>
    <row r="62" spans="1:35" ht="12.75" customHeight="1" x14ac:dyDescent="0.2">
      <c r="D62" s="139" t="s">
        <v>1264</v>
      </c>
      <c r="E62" s="1170"/>
      <c r="F62" s="1170"/>
      <c r="G62" s="1168" t="str">
        <f t="shared" ref="G62:G71" si="0">IF(E62="","",IF(COUNTIF(INDEX(CONST_MATRIX_ProductionRoute,MATCH(E62,CONST_LIST_Goods,0),),CONST_NA)=9,CONST_AllProdRoutes,CONST_PleaseSelect))</f>
        <v/>
      </c>
      <c r="H62" s="1168"/>
      <c r="I62" s="555"/>
      <c r="J62" s="555"/>
      <c r="K62" s="659"/>
      <c r="L62" s="659"/>
      <c r="M62" s="659"/>
      <c r="N62" s="555"/>
      <c r="R62" s="97" t="s">
        <v>1265</v>
      </c>
      <c r="S62" s="116" t="str">
        <f t="shared" ref="S62:S67" si="1">IF(E62="",CONST_NA,E62)</f>
        <v>n.a.</v>
      </c>
      <c r="T62" s="102" t="str">
        <f t="shared" ref="T62:T71" si="2">IF(E62="","",INDEX(CONST_LIST_GoodsProdRouteAdd,MATCH(E62,CONST_LIST_Goods,0)))</f>
        <v/>
      </c>
      <c r="V62" s="104"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E62" s="102" t="str">
        <f t="shared" ref="AE62:AE71" si="6">IF(E62="","",COUNTIF($E$82:$K$91,E62)=0)</f>
        <v/>
      </c>
      <c r="AG62" s="102" t="str">
        <f>IF(AND(CNTR_HasEntriesA,COUNTA(E62:F71)=0),CONST_ErrorOrMissing&amp;A55,CONST_NA)</f>
        <v>n.a.</v>
      </c>
      <c r="AI62" s="119" t="b">
        <f t="shared" ref="AI62:AI67" si="7">OR(AND(CNTR_HasEntriesA,E62=""),AND(E62&lt;&gt;"",G62=CONST_AllProdRoutes))</f>
        <v>0</v>
      </c>
    </row>
    <row r="63" spans="1:35" ht="12.75" customHeight="1" x14ac:dyDescent="0.2">
      <c r="D63" s="660" t="s">
        <v>1266</v>
      </c>
      <c r="E63" s="1132"/>
      <c r="F63" s="1133"/>
      <c r="G63" s="1130" t="str">
        <f t="shared" si="0"/>
        <v/>
      </c>
      <c r="H63" s="1131"/>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0</v>
      </c>
    </row>
    <row r="64" spans="1:35" ht="12.75" customHeight="1" x14ac:dyDescent="0.2">
      <c r="D64" s="660" t="s">
        <v>1267</v>
      </c>
      <c r="E64" s="1132"/>
      <c r="F64" s="1133"/>
      <c r="G64" s="1130" t="str">
        <f t="shared" si="0"/>
        <v/>
      </c>
      <c r="H64" s="1131"/>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0</v>
      </c>
    </row>
    <row r="65" spans="4:35" ht="12.75" customHeight="1" x14ac:dyDescent="0.2">
      <c r="D65" s="660" t="s">
        <v>1268</v>
      </c>
      <c r="E65" s="1132"/>
      <c r="F65" s="1133"/>
      <c r="G65" s="1130" t="str">
        <f t="shared" si="0"/>
        <v/>
      </c>
      <c r="H65" s="1131"/>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0</v>
      </c>
    </row>
    <row r="66" spans="4:35" ht="12.75" customHeight="1" x14ac:dyDescent="0.2">
      <c r="D66" s="660" t="s">
        <v>1269</v>
      </c>
      <c r="E66" s="1132"/>
      <c r="F66" s="1133"/>
      <c r="G66" s="1130" t="str">
        <f t="shared" si="0"/>
        <v/>
      </c>
      <c r="H66" s="1131"/>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0</v>
      </c>
    </row>
    <row r="67" spans="4:35" ht="12.75" customHeight="1" x14ac:dyDescent="0.2">
      <c r="D67" s="660" t="s">
        <v>1270</v>
      </c>
      <c r="E67" s="1132"/>
      <c r="F67" s="1133"/>
      <c r="G67" s="1130" t="str">
        <f t="shared" si="0"/>
        <v/>
      </c>
      <c r="H67" s="1131"/>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0</v>
      </c>
    </row>
    <row r="68" spans="4:35" ht="12.75" customHeight="1" x14ac:dyDescent="0.2">
      <c r="D68" s="660" t="s">
        <v>1271</v>
      </c>
      <c r="E68" s="1132"/>
      <c r="F68" s="1133"/>
      <c r="G68" s="1130" t="str">
        <f t="shared" si="0"/>
        <v/>
      </c>
      <c r="H68" s="1131"/>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0</v>
      </c>
    </row>
    <row r="69" spans="4:35" ht="12.75" customHeight="1" x14ac:dyDescent="0.2">
      <c r="D69" s="660" t="s">
        <v>1272</v>
      </c>
      <c r="E69" s="1132"/>
      <c r="F69" s="1133"/>
      <c r="G69" s="1130" t="str">
        <f t="shared" si="0"/>
        <v/>
      </c>
      <c r="H69" s="1131"/>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0</v>
      </c>
    </row>
    <row r="70" spans="4:35" ht="12.75" customHeight="1" x14ac:dyDescent="0.2">
      <c r="D70" s="660" t="s">
        <v>1273</v>
      </c>
      <c r="E70" s="1132"/>
      <c r="F70" s="1133"/>
      <c r="G70" s="1130" t="str">
        <f t="shared" si="0"/>
        <v/>
      </c>
      <c r="H70" s="1131"/>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0</v>
      </c>
    </row>
    <row r="71" spans="4:35" ht="12.75" customHeight="1" x14ac:dyDescent="0.2">
      <c r="D71" s="142" t="s">
        <v>1274</v>
      </c>
      <c r="E71" s="1134"/>
      <c r="F71" s="1135"/>
      <c r="G71" s="1136" t="str">
        <f t="shared" si="0"/>
        <v/>
      </c>
      <c r="H71" s="1137"/>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0</v>
      </c>
    </row>
    <row r="72" spans="4:35" ht="5.0999999999999996" customHeight="1" x14ac:dyDescent="0.2">
      <c r="D72" s="103"/>
      <c r="E72" s="113"/>
      <c r="F72" s="113"/>
      <c r="G72" s="113"/>
      <c r="H72" s="113"/>
      <c r="I72" s="113"/>
      <c r="J72" s="113"/>
      <c r="K72" s="113"/>
      <c r="L72" s="113"/>
      <c r="M72" s="113"/>
      <c r="S72" s="112"/>
    </row>
    <row r="73" spans="4:35" ht="38.85" customHeight="1" x14ac:dyDescent="0.2">
      <c r="D73" s="103"/>
      <c r="E73" s="1129"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29"/>
      <c r="G73" s="1129"/>
      <c r="H73" s="1129"/>
      <c r="I73" s="1129"/>
      <c r="J73" s="1129"/>
      <c r="K73" s="1129"/>
      <c r="L73" s="1129"/>
      <c r="M73" s="1129"/>
      <c r="N73" s="1129"/>
      <c r="S73" s="112"/>
    </row>
    <row r="74" spans="4:35" ht="12.75" customHeight="1" x14ac:dyDescent="0.2">
      <c r="D74" s="103"/>
      <c r="E74" s="146" t="str">
        <f>Translations!$B$116</f>
        <v>Relevant precursors:</v>
      </c>
      <c r="G74" s="658" t="str">
        <f>IF(COUNTIF(CONST_CNTR_PrecNumbering,COLUMNS($G74:G74))=0,"",INDEX(CONST_LIST_Goods,MATCH(COLUMNS($G74:G74),CONST_CNTR_PrecNumbering,0)))</f>
        <v/>
      </c>
      <c r="H74" s="658" t="str">
        <f>IF(COUNTIF(CONST_CNTR_PrecNumbering,COLUMNS($G74:H74))=0,"",INDEX(CONST_LIST_Goods,MATCH(COLUMNS($G74:H74),CONST_CNTR_PrecNumbering,0)))</f>
        <v/>
      </c>
      <c r="I74" s="658" t="str">
        <f>IF(COUNTIF(CONST_CNTR_PrecNumbering,COLUMNS($G74:I74))=0,"",INDEX(CONST_LIST_Goods,MATCH(COLUMNS($G74:I74),CONST_CNTR_PrecNumbering,0)))</f>
        <v/>
      </c>
      <c r="J74" s="658" t="str">
        <f>IF(COUNTIF(CONST_CNTR_PrecNumbering,COLUMNS($G74:J74))=0,"",INDEX(CONST_LIST_Goods,MATCH(COLUMNS($G74:J74),CONST_CNTR_PrecNumbering,0)))</f>
        <v/>
      </c>
      <c r="K74" s="658" t="str">
        <f>IF(COUNTIF(CONST_CNTR_PrecNumbering,COLUMNS($G74:K74))=0,"",INDEX(CONST_LIST_Goods,MATCH(COLUMNS($G74:K74),CONST_CNTR_PrecNumbering,0)))</f>
        <v/>
      </c>
      <c r="L74" s="658" t="str">
        <f>IF(COUNTIF(CONST_CNTR_PrecNumbering,COLUMNS($G74:L74))=0,"",INDEX(CONST_LIST_Goods,MATCH(COLUMNS($G74:L74),CONST_CNTR_PrecNumbering,0)))</f>
        <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x14ac:dyDescent="0.2">
      <c r="D75" s="103"/>
      <c r="E75" s="113"/>
      <c r="F75" s="113"/>
      <c r="G75" s="113"/>
      <c r="H75" s="113"/>
      <c r="I75" s="113"/>
      <c r="J75" s="113"/>
      <c r="K75" s="113"/>
      <c r="L75" s="113"/>
      <c r="M75" s="113"/>
      <c r="S75" s="112"/>
    </row>
    <row r="76" spans="4:35" ht="12.75" customHeight="1" x14ac:dyDescent="0.25">
      <c r="D76" s="9" t="s">
        <v>1253</v>
      </c>
      <c r="E76" s="1123" t="str">
        <f>Translations!$B$117</f>
        <v>Relevant production processes</v>
      </c>
      <c r="F76" s="1123"/>
      <c r="G76" s="1123"/>
      <c r="H76" s="1123"/>
      <c r="I76" s="1123"/>
      <c r="J76" s="1123"/>
      <c r="K76" s="1123"/>
      <c r="L76" s="1123"/>
      <c r="M76" s="1123"/>
      <c r="N76" s="1123"/>
    </row>
    <row r="77" spans="4:35" ht="25.5" customHeight="1" x14ac:dyDescent="0.2">
      <c r="D77" s="120"/>
      <c r="E77" s="1129"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29"/>
      <c r="G77" s="1129"/>
      <c r="H77" s="1129"/>
      <c r="I77" s="1129"/>
      <c r="J77" s="1129"/>
      <c r="K77" s="1129"/>
      <c r="L77" s="1129"/>
      <c r="M77" s="1129"/>
      <c r="N77" s="1129"/>
      <c r="S77" s="112"/>
    </row>
    <row r="78" spans="4:35" ht="50.1" customHeight="1" x14ac:dyDescent="0.2">
      <c r="D78" s="120"/>
      <c r="E78" s="1151"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1"/>
      <c r="G78" s="1151"/>
      <c r="H78" s="1151"/>
      <c r="I78" s="1151"/>
      <c r="J78" s="1151"/>
      <c r="K78" s="1151"/>
      <c r="L78" s="1151"/>
      <c r="M78" s="1151"/>
      <c r="N78" s="1151"/>
      <c r="S78" s="112"/>
    </row>
    <row r="79" spans="4:35" ht="5.0999999999999996" customHeight="1" x14ac:dyDescent="0.2">
      <c r="D79" s="103"/>
      <c r="E79" s="113"/>
      <c r="F79" s="113"/>
      <c r="G79" s="113"/>
      <c r="H79" s="113"/>
      <c r="I79" s="113"/>
      <c r="J79" s="113"/>
      <c r="K79" s="113"/>
      <c r="L79" s="113"/>
      <c r="M79" s="113"/>
    </row>
    <row r="80" spans="4:35" ht="12.75" customHeight="1" x14ac:dyDescent="0.2">
      <c r="D80" s="1165" t="s">
        <v>244</v>
      </c>
      <c r="E80" s="1147" t="str">
        <f>Translations!$B$120</f>
        <v>Production process</v>
      </c>
      <c r="F80" s="1138" t="str">
        <f>Translations!$B$121</f>
        <v>Included goods categories listed under (a)</v>
      </c>
      <c r="G80" s="1139"/>
      <c r="H80" s="1139"/>
      <c r="I80" s="1139"/>
      <c r="J80" s="1139"/>
      <c r="K80" s="1140"/>
      <c r="L80" s="1141" t="str">
        <f>Translations!$B$122</f>
        <v>Name</v>
      </c>
      <c r="M80" s="1142"/>
      <c r="N80" s="1145" t="str">
        <f>Translations!$B$123</f>
        <v>Error message</v>
      </c>
    </row>
    <row r="81" spans="1:35" ht="12.75" customHeight="1" x14ac:dyDescent="0.2">
      <c r="D81" s="1166"/>
      <c r="E81" s="1148"/>
      <c r="F81" s="115">
        <v>1</v>
      </c>
      <c r="G81" s="115">
        <v>2</v>
      </c>
      <c r="H81" s="115">
        <v>3</v>
      </c>
      <c r="I81" s="115">
        <v>4</v>
      </c>
      <c r="J81" s="115">
        <v>5</v>
      </c>
      <c r="K81" s="115">
        <v>6</v>
      </c>
      <c r="L81" s="1143"/>
      <c r="M81" s="1144"/>
      <c r="N81" s="1146"/>
      <c r="S81" s="97" t="s">
        <v>1275</v>
      </c>
      <c r="T81" s="97" t="s">
        <v>1276</v>
      </c>
      <c r="W81" s="117" t="s">
        <v>1256</v>
      </c>
      <c r="X81" s="117" t="s">
        <v>1277</v>
      </c>
      <c r="Y81" s="117" t="s">
        <v>1278</v>
      </c>
      <c r="Z81" s="117" t="s">
        <v>1279</v>
      </c>
      <c r="AA81" s="117" t="s">
        <v>1280</v>
      </c>
      <c r="AB81" s="117" t="s">
        <v>1281</v>
      </c>
      <c r="AC81" s="117" t="s">
        <v>1282</v>
      </c>
      <c r="AD81" s="117" t="s">
        <v>1283</v>
      </c>
    </row>
    <row r="82" spans="1:35" ht="12.75" customHeight="1" x14ac:dyDescent="0.2">
      <c r="D82" s="139" t="s">
        <v>1284</v>
      </c>
      <c r="E82" s="662"/>
      <c r="F82" s="555"/>
      <c r="G82" s="555"/>
      <c r="H82" s="555"/>
      <c r="I82" s="555"/>
      <c r="J82" s="555"/>
      <c r="K82" s="555"/>
      <c r="L82" s="1154"/>
      <c r="M82" s="1155"/>
      <c r="N82" s="663" t="str">
        <f>IF(E82="","",IF(OR(,L82="",AND(AF82=FALSE,COUNTA(F82:K82)=0)),CONST_ERR_Incomplete,IF(COUNTIF(L$82:M82,L82)&gt;1,CONST_ERR_Duplicate,"")))</f>
        <v/>
      </c>
      <c r="R82" s="97"/>
      <c r="S82" s="116" t="str">
        <f t="shared" ref="S82:S91" si="10">IF(E82="",CONST_NA,E82)</f>
        <v>n.a.</v>
      </c>
      <c r="T82" s="102" t="str">
        <f t="shared" ref="T82:T91" si="11">IF(E82="",CONST_NA,IF(L82="",D82 &amp; " - " &amp; E82,L82))</f>
        <v>n.a.</v>
      </c>
      <c r="V82" s="104" t="str">
        <f>D82</f>
        <v>P1</v>
      </c>
      <c r="W82" s="105" t="str">
        <f t="shared" ref="W82:W91" si="12">IF(E82="","",MATCH(E82,CONST_LIST_Goods,0))</f>
        <v/>
      </c>
      <c r="X82" s="105" t="str">
        <f>IF(F82="","",$W82&amp;"_"&amp;IF(F82=$S$61,0,MATCH(F82,INDEX(Parameters_Constants!$AC$80:$AM$97,$W82,),0)))</f>
        <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
      </c>
      <c r="AG82" s="102" t="str">
        <f>IF(AND(CNTR_HasEntriesA,N82&lt;&gt;""),CONST_ErrorOrMissing&amp;A55,CONST_NA)</f>
        <v>n.a.</v>
      </c>
      <c r="AI82" s="102" t="b">
        <f t="shared" ref="AI82:AI91" si="14">AND(CNTR_HasEntriesA,E82="")</f>
        <v>0</v>
      </c>
    </row>
    <row r="83" spans="1:35" ht="12.75" customHeight="1" x14ac:dyDescent="0.2">
      <c r="D83" s="660" t="s">
        <v>1285</v>
      </c>
      <c r="E83" s="664"/>
      <c r="F83" s="567"/>
      <c r="G83" s="567"/>
      <c r="H83" s="567"/>
      <c r="I83" s="567"/>
      <c r="J83" s="567"/>
      <c r="K83" s="567"/>
      <c r="L83" s="1127"/>
      <c r="M83" s="1128"/>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0</v>
      </c>
    </row>
    <row r="84" spans="1:35" ht="12.75" customHeight="1" x14ac:dyDescent="0.2">
      <c r="D84" s="660" t="s">
        <v>1286</v>
      </c>
      <c r="E84" s="664"/>
      <c r="F84" s="567"/>
      <c r="G84" s="567"/>
      <c r="H84" s="567"/>
      <c r="I84" s="567"/>
      <c r="J84" s="567"/>
      <c r="K84" s="567"/>
      <c r="L84" s="1127"/>
      <c r="M84" s="1128"/>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0</v>
      </c>
    </row>
    <row r="85" spans="1:35" ht="12.75" customHeight="1" x14ac:dyDescent="0.2">
      <c r="D85" s="660" t="s">
        <v>1287</v>
      </c>
      <c r="E85" s="664"/>
      <c r="F85" s="567"/>
      <c r="G85" s="567"/>
      <c r="H85" s="567"/>
      <c r="I85" s="567"/>
      <c r="J85" s="567"/>
      <c r="K85" s="567"/>
      <c r="L85" s="1127"/>
      <c r="M85" s="1128"/>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0</v>
      </c>
    </row>
    <row r="86" spans="1:35" ht="12.75" customHeight="1" x14ac:dyDescent="0.2">
      <c r="D86" s="660" t="s">
        <v>1288</v>
      </c>
      <c r="E86" s="664"/>
      <c r="F86" s="567"/>
      <c r="G86" s="567"/>
      <c r="H86" s="567"/>
      <c r="I86" s="567"/>
      <c r="J86" s="567"/>
      <c r="K86" s="567"/>
      <c r="L86" s="1127"/>
      <c r="M86" s="1128"/>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0</v>
      </c>
    </row>
    <row r="87" spans="1:35" ht="12.75" customHeight="1" x14ac:dyDescent="0.2">
      <c r="D87" s="660" t="s">
        <v>1289</v>
      </c>
      <c r="E87" s="664"/>
      <c r="F87" s="567"/>
      <c r="G87" s="567"/>
      <c r="H87" s="567"/>
      <c r="I87" s="567"/>
      <c r="J87" s="567"/>
      <c r="K87" s="567"/>
      <c r="L87" s="1127"/>
      <c r="M87" s="1128"/>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0</v>
      </c>
    </row>
    <row r="88" spans="1:35" ht="12.75" customHeight="1" x14ac:dyDescent="0.2">
      <c r="D88" s="660" t="s">
        <v>1290</v>
      </c>
      <c r="E88" s="664"/>
      <c r="F88" s="567"/>
      <c r="G88" s="567"/>
      <c r="H88" s="567"/>
      <c r="I88" s="567"/>
      <c r="J88" s="567"/>
      <c r="K88" s="567"/>
      <c r="L88" s="1127"/>
      <c r="M88" s="1128"/>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0</v>
      </c>
    </row>
    <row r="89" spans="1:35" ht="12.75" customHeight="1" x14ac:dyDescent="0.2">
      <c r="D89" s="660" t="s">
        <v>1291</v>
      </c>
      <c r="E89" s="664"/>
      <c r="F89" s="567"/>
      <c r="G89" s="567"/>
      <c r="H89" s="567"/>
      <c r="I89" s="567"/>
      <c r="J89" s="567"/>
      <c r="K89" s="567"/>
      <c r="L89" s="1127"/>
      <c r="M89" s="1128"/>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0</v>
      </c>
    </row>
    <row r="90" spans="1:35" ht="12.75" customHeight="1" x14ac:dyDescent="0.2">
      <c r="D90" s="660" t="s">
        <v>1292</v>
      </c>
      <c r="E90" s="664"/>
      <c r="F90" s="567"/>
      <c r="G90" s="567"/>
      <c r="H90" s="567"/>
      <c r="I90" s="567"/>
      <c r="J90" s="567"/>
      <c r="K90" s="567"/>
      <c r="L90" s="1127"/>
      <c r="M90" s="1128"/>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0</v>
      </c>
    </row>
    <row r="91" spans="1:35" ht="12.75" customHeight="1" x14ac:dyDescent="0.2">
      <c r="D91" s="142" t="s">
        <v>1293</v>
      </c>
      <c r="E91" s="666"/>
      <c r="F91" s="579"/>
      <c r="G91" s="579"/>
      <c r="H91" s="579"/>
      <c r="I91" s="579"/>
      <c r="J91" s="579"/>
      <c r="K91" s="579"/>
      <c r="L91" s="1149"/>
      <c r="M91" s="1150"/>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0</v>
      </c>
    </row>
    <row r="92" spans="1:35" ht="5.0999999999999996" customHeight="1" x14ac:dyDescent="0.2">
      <c r="D92" s="103"/>
      <c r="E92" s="113"/>
      <c r="F92" s="113"/>
      <c r="G92" s="113"/>
      <c r="H92" s="113"/>
      <c r="I92" s="113"/>
      <c r="J92" s="113"/>
      <c r="K92" s="113"/>
      <c r="L92" s="113"/>
      <c r="M92" s="113"/>
      <c r="S92" s="112"/>
    </row>
    <row r="93" spans="1:35" ht="12.75" customHeight="1" x14ac:dyDescent="0.2">
      <c r="D93" s="103"/>
      <c r="E93" s="113"/>
      <c r="F93" s="113"/>
      <c r="G93" s="671" t="s">
        <v>1294</v>
      </c>
      <c r="H93" s="1152" t="str">
        <f>IF(COUNTIF(AE62:AE71,TRUE)&gt;0,CONST_MsgMissingProdProc,"")</f>
        <v/>
      </c>
      <c r="I93" s="1152"/>
      <c r="J93" s="1152"/>
      <c r="K93" s="1152"/>
      <c r="L93" s="1152"/>
      <c r="M93" s="1152"/>
      <c r="N93" s="1152"/>
      <c r="S93" s="112"/>
      <c r="AG93" s="102" t="str">
        <f>IF(AND(CNTR_HasEntriesA,H93&lt;&gt;""),CONST_ErrorOrMissing&amp;A55,CONST_NA)</f>
        <v>n.a.</v>
      </c>
    </row>
    <row r="94" spans="1:35" ht="12.75" customHeight="1" x14ac:dyDescent="0.2">
      <c r="D94" s="103"/>
      <c r="E94" s="113"/>
      <c r="F94" s="113"/>
      <c r="G94" s="113"/>
      <c r="H94" s="113"/>
      <c r="I94" s="113"/>
      <c r="J94" s="113"/>
      <c r="K94" s="113"/>
      <c r="L94" s="113"/>
      <c r="M94" s="113"/>
      <c r="S94" s="112"/>
    </row>
    <row r="95" spans="1:35" ht="18" customHeight="1" x14ac:dyDescent="0.25">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x14ac:dyDescent="0.2">
      <c r="D96" s="103"/>
      <c r="E96" s="113"/>
      <c r="F96" s="113"/>
      <c r="G96" s="113"/>
      <c r="H96" s="113"/>
      <c r="I96" s="113"/>
      <c r="J96" s="113"/>
      <c r="K96" s="113"/>
      <c r="L96" s="113"/>
      <c r="M96" s="113"/>
      <c r="S96" s="112"/>
    </row>
    <row r="97" spans="4:35" ht="12.75" customHeight="1" x14ac:dyDescent="0.2">
      <c r="D97" s="103"/>
      <c r="E97" s="1129" t="str">
        <f>Translations!$B$125</f>
        <v>Please list here all precursors that are produced OUTSIDE the installation (e.g. purchased) and consumed within the installation.</v>
      </c>
      <c r="F97" s="1129"/>
      <c r="G97" s="1129"/>
      <c r="H97" s="1129"/>
      <c r="I97" s="1129"/>
      <c r="J97" s="1129"/>
      <c r="K97" s="1129"/>
      <c r="L97" s="1129"/>
      <c r="M97" s="1129"/>
      <c r="N97" s="1129"/>
      <c r="S97" s="112"/>
    </row>
    <row r="98" spans="4:35" ht="25.5" customHeight="1" x14ac:dyDescent="0.2">
      <c r="D98" s="103"/>
      <c r="E98" s="1129" t="str">
        <f>Translations!$B$126</f>
        <v>Please also list the country in which the relevant precursor was produced (see sheet "c_CodeLists" to find the correct country codes) and the relevant production routes, if known.</v>
      </c>
      <c r="F98" s="1129"/>
      <c r="G98" s="1129"/>
      <c r="H98" s="1129"/>
      <c r="I98" s="1129"/>
      <c r="J98" s="1129"/>
      <c r="K98" s="1129"/>
      <c r="L98" s="1129"/>
      <c r="M98" s="1129"/>
      <c r="N98" s="1129"/>
      <c r="S98" s="112"/>
    </row>
    <row r="99" spans="4:35" ht="5.0999999999999996" customHeight="1" x14ac:dyDescent="0.2">
      <c r="D99" s="103"/>
      <c r="E99" s="113"/>
      <c r="F99" s="113"/>
      <c r="G99" s="113"/>
      <c r="H99" s="113"/>
      <c r="I99" s="113"/>
      <c r="J99" s="113"/>
      <c r="K99" s="113"/>
      <c r="L99" s="113"/>
      <c r="M99" s="113"/>
      <c r="S99" s="112"/>
    </row>
    <row r="100" spans="4:35" ht="12.75" customHeight="1" x14ac:dyDescent="0.2">
      <c r="D100" s="114" t="s">
        <v>244</v>
      </c>
      <c r="E100" s="122" t="str">
        <f>Translations!$B$120</f>
        <v>Production process</v>
      </c>
      <c r="F100" s="115" t="s">
        <v>1295</v>
      </c>
      <c r="G100" s="115" t="str">
        <f>Translations!$B$109</f>
        <v>Route 1</v>
      </c>
      <c r="H100" s="115" t="str">
        <f>Translations!$B$110</f>
        <v>Route 2</v>
      </c>
      <c r="I100" s="115" t="str">
        <f>Translations!$B$111</f>
        <v>Route 3</v>
      </c>
      <c r="J100" s="115" t="str">
        <f>Translations!$B$112</f>
        <v>Route 4</v>
      </c>
      <c r="K100" s="115" t="str">
        <f>Translations!$B$113</f>
        <v>Route 5</v>
      </c>
      <c r="L100" s="1153" t="str">
        <f>Translations!$B$122</f>
        <v>Name</v>
      </c>
      <c r="M100" s="1153"/>
      <c r="N100" s="114" t="str">
        <f>Translations!$B$123</f>
        <v>Error message</v>
      </c>
      <c r="S100" s="97" t="s">
        <v>1296</v>
      </c>
      <c r="T100" s="97" t="s">
        <v>1297</v>
      </c>
      <c r="W100" s="117" t="s">
        <v>1256</v>
      </c>
      <c r="X100" s="117" t="s">
        <v>1257</v>
      </c>
      <c r="Y100" s="117" t="s">
        <v>1258</v>
      </c>
      <c r="Z100" s="117" t="s">
        <v>1259</v>
      </c>
      <c r="AA100" s="117" t="s">
        <v>1260</v>
      </c>
      <c r="AB100" s="117" t="s">
        <v>1261</v>
      </c>
      <c r="AG100" s="118"/>
      <c r="AH100" s="117" t="s">
        <v>1298</v>
      </c>
    </row>
    <row r="101" spans="4:35" ht="12.75" customHeight="1" x14ac:dyDescent="0.2">
      <c r="D101" s="139" t="s">
        <v>1299</v>
      </c>
      <c r="E101" s="662"/>
      <c r="F101" s="668"/>
      <c r="G101" s="878"/>
      <c r="H101" s="878"/>
      <c r="I101" s="878"/>
      <c r="J101" s="878"/>
      <c r="K101" s="878"/>
      <c r="L101" s="1154"/>
      <c r="M101" s="1155"/>
      <c r="N101" s="663" t="str">
        <f t="shared" ref="N101:N120" si="16">IF(E101="","",IF(OR(F101="",L101="",AND(AH101=FALSE,COUNTA(G101:K101)=0)),CONST_ERR_Incomplete,""))</f>
        <v/>
      </c>
      <c r="S101" s="116" t="str">
        <f t="shared" ref="S101:S109" si="17">IF(E101="",CONST_NA,E101)</f>
        <v>n.a.</v>
      </c>
      <c r="T101" s="102" t="str">
        <f t="shared" ref="T101:T109" si="18">IF(E101="",CONST_NA,IF(L101="",D101 &amp; " - " &amp; E101,L101))</f>
        <v>n.a.</v>
      </c>
      <c r="U101" s="102" t="str">
        <f t="shared" ref="U101:U109" si="19">IF(E101="","",INDEX(CONST_LIST_GoodsProdRouteAdd,MATCH(E101,CONST_LIST_Goods,0)))</f>
        <v/>
      </c>
      <c r="V101" s="104" t="str">
        <f t="shared" ref="V101:V120" si="20">D101</f>
        <v>PP1</v>
      </c>
      <c r="W101" s="105" t="str">
        <f t="shared" ref="W101:W120" si="21">IF(E101="","",MATCH(E101,CONST_LIST_Goods,0))</f>
        <v/>
      </c>
      <c r="X101" s="105" t="str">
        <f t="shared" ref="X101:X120" si="22">IF(G101="","",$W101&amp;"_"&amp;MATCH(G101,INDEX(CONST_MATRIX_ProductionRoute,$W101,),0))</f>
        <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str">
        <f t="shared" ref="AH101:AH120" si="28">IF(OR(CNTR_HasEntriesA=FALSE,E101=""),"",COUNTIF(INDEX(CONST_MATRIX_ProductionRoute,MATCH(E101,CONST_LIST_Goods,0),),CONST_NA)=9)</f>
        <v/>
      </c>
      <c r="AI101" s="102" t="b">
        <f t="shared" ref="AI101:AI120" si="29">AND(CNTR_HasEntriesA,E101="")</f>
        <v>0</v>
      </c>
    </row>
    <row r="102" spans="4:35" ht="12.75" customHeight="1" x14ac:dyDescent="0.2">
      <c r="D102" s="660" t="s">
        <v>1300</v>
      </c>
      <c r="E102" s="664"/>
      <c r="F102" s="669"/>
      <c r="G102" s="879"/>
      <c r="H102" s="879"/>
      <c r="I102" s="879"/>
      <c r="J102" s="879"/>
      <c r="K102" s="879"/>
      <c r="L102" s="1127"/>
      <c r="M102" s="1128"/>
      <c r="N102" s="665" t="str">
        <f t="shared" si="16"/>
        <v/>
      </c>
      <c r="S102" s="116" t="str">
        <f t="shared" si="17"/>
        <v>n.a.</v>
      </c>
      <c r="T102" s="102" t="str">
        <f t="shared" si="18"/>
        <v>n.a.</v>
      </c>
      <c r="U102" s="102" t="str">
        <f t="shared" si="19"/>
        <v/>
      </c>
      <c r="V102" s="104" t="str">
        <f t="shared" si="20"/>
        <v>PP2</v>
      </c>
      <c r="W102" s="105" t="str">
        <f t="shared" si="21"/>
        <v/>
      </c>
      <c r="X102" s="105" t="str">
        <f t="shared" si="22"/>
        <v/>
      </c>
      <c r="Y102" s="105" t="str">
        <f t="shared" si="23"/>
        <v/>
      </c>
      <c r="Z102" s="105" t="str">
        <f t="shared" si="24"/>
        <v/>
      </c>
      <c r="AA102" s="105" t="str">
        <f t="shared" si="25"/>
        <v/>
      </c>
      <c r="AB102" s="105" t="str">
        <f t="shared" si="26"/>
        <v/>
      </c>
      <c r="AG102" s="102" t="str">
        <f t="shared" si="27"/>
        <v>n.a.</v>
      </c>
      <c r="AH102" s="102" t="str">
        <f t="shared" si="28"/>
        <v/>
      </c>
      <c r="AI102" s="102" t="b">
        <f t="shared" si="29"/>
        <v>0</v>
      </c>
    </row>
    <row r="103" spans="4:35" ht="12.75" customHeight="1" x14ac:dyDescent="0.2">
      <c r="D103" s="660" t="s">
        <v>1301</v>
      </c>
      <c r="E103" s="664"/>
      <c r="F103" s="669"/>
      <c r="G103" s="879"/>
      <c r="H103" s="879"/>
      <c r="I103" s="879"/>
      <c r="J103" s="879"/>
      <c r="K103" s="879"/>
      <c r="L103" s="1127"/>
      <c r="M103" s="1128"/>
      <c r="N103" s="665" t="str">
        <f t="shared" si="16"/>
        <v/>
      </c>
      <c r="S103" s="116" t="str">
        <f t="shared" si="17"/>
        <v>n.a.</v>
      </c>
      <c r="T103" s="102" t="str">
        <f t="shared" si="18"/>
        <v>n.a.</v>
      </c>
      <c r="U103" s="102" t="str">
        <f t="shared" si="19"/>
        <v/>
      </c>
      <c r="V103" s="104" t="str">
        <f t="shared" si="20"/>
        <v>PP3</v>
      </c>
      <c r="W103" s="105" t="str">
        <f t="shared" si="21"/>
        <v/>
      </c>
      <c r="X103" s="105" t="str">
        <f t="shared" si="22"/>
        <v/>
      </c>
      <c r="Y103" s="105" t="str">
        <f t="shared" si="23"/>
        <v/>
      </c>
      <c r="Z103" s="105" t="str">
        <f t="shared" si="24"/>
        <v/>
      </c>
      <c r="AA103" s="105" t="str">
        <f t="shared" si="25"/>
        <v/>
      </c>
      <c r="AB103" s="105" t="str">
        <f t="shared" si="26"/>
        <v/>
      </c>
      <c r="AG103" s="102" t="str">
        <f t="shared" si="27"/>
        <v>n.a.</v>
      </c>
      <c r="AH103" s="102" t="str">
        <f t="shared" si="28"/>
        <v/>
      </c>
      <c r="AI103" s="102" t="b">
        <f t="shared" si="29"/>
        <v>0</v>
      </c>
    </row>
    <row r="104" spans="4:35" ht="12.75" customHeight="1" x14ac:dyDescent="0.2">
      <c r="D104" s="660" t="s">
        <v>1302</v>
      </c>
      <c r="E104" s="664"/>
      <c r="F104" s="669"/>
      <c r="G104" s="879"/>
      <c r="H104" s="879"/>
      <c r="I104" s="879"/>
      <c r="J104" s="879"/>
      <c r="K104" s="879"/>
      <c r="L104" s="1127"/>
      <c r="M104" s="1128"/>
      <c r="N104" s="665"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0</v>
      </c>
    </row>
    <row r="105" spans="4:35" ht="12.75" customHeight="1" x14ac:dyDescent="0.2">
      <c r="D105" s="660" t="s">
        <v>1303</v>
      </c>
      <c r="E105" s="664"/>
      <c r="F105" s="669"/>
      <c r="G105" s="879"/>
      <c r="H105" s="879"/>
      <c r="I105" s="879"/>
      <c r="J105" s="879"/>
      <c r="K105" s="879"/>
      <c r="L105" s="1127"/>
      <c r="M105" s="1128"/>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0</v>
      </c>
    </row>
    <row r="106" spans="4:35" ht="12.75" customHeight="1" x14ac:dyDescent="0.2">
      <c r="D106" s="660" t="s">
        <v>1304</v>
      </c>
      <c r="E106" s="664"/>
      <c r="F106" s="669"/>
      <c r="G106" s="879"/>
      <c r="H106" s="879"/>
      <c r="I106" s="879"/>
      <c r="J106" s="879"/>
      <c r="K106" s="879"/>
      <c r="L106" s="1127"/>
      <c r="M106" s="1128"/>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0</v>
      </c>
    </row>
    <row r="107" spans="4:35" ht="12.75" customHeight="1" x14ac:dyDescent="0.2">
      <c r="D107" s="660" t="s">
        <v>1305</v>
      </c>
      <c r="E107" s="664"/>
      <c r="F107" s="669"/>
      <c r="G107" s="879"/>
      <c r="H107" s="879"/>
      <c r="I107" s="879"/>
      <c r="J107" s="879"/>
      <c r="K107" s="879"/>
      <c r="L107" s="1127"/>
      <c r="M107" s="1128"/>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0</v>
      </c>
    </row>
    <row r="108" spans="4:35" ht="12.75" customHeight="1" x14ac:dyDescent="0.2">
      <c r="D108" s="660" t="s">
        <v>1306</v>
      </c>
      <c r="E108" s="664"/>
      <c r="F108" s="669"/>
      <c r="G108" s="879"/>
      <c r="H108" s="879"/>
      <c r="I108" s="879"/>
      <c r="J108" s="879"/>
      <c r="K108" s="879"/>
      <c r="L108" s="1127"/>
      <c r="M108" s="1128"/>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0</v>
      </c>
    </row>
    <row r="109" spans="4:35" ht="12.75" customHeight="1" x14ac:dyDescent="0.2">
      <c r="D109" s="660" t="s">
        <v>1307</v>
      </c>
      <c r="E109" s="664"/>
      <c r="F109" s="669"/>
      <c r="G109" s="879"/>
      <c r="H109" s="879"/>
      <c r="I109" s="879"/>
      <c r="J109" s="879"/>
      <c r="K109" s="879"/>
      <c r="L109" s="1127"/>
      <c r="M109" s="1128"/>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0</v>
      </c>
    </row>
    <row r="110" spans="4:35" ht="12.75" customHeight="1" x14ac:dyDescent="0.2">
      <c r="D110" s="660" t="s">
        <v>1308</v>
      </c>
      <c r="E110" s="664"/>
      <c r="F110" s="669"/>
      <c r="G110" s="879"/>
      <c r="H110" s="879"/>
      <c r="I110" s="879"/>
      <c r="J110" s="879"/>
      <c r="K110" s="879"/>
      <c r="L110" s="1127"/>
      <c r="M110" s="1128"/>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0</v>
      </c>
    </row>
    <row r="111" spans="4:35" ht="12.75" customHeight="1" x14ac:dyDescent="0.2">
      <c r="D111" s="660" t="s">
        <v>1309</v>
      </c>
      <c r="E111" s="664"/>
      <c r="F111" s="669"/>
      <c r="G111" s="879"/>
      <c r="H111" s="879"/>
      <c r="I111" s="879"/>
      <c r="J111" s="879"/>
      <c r="K111" s="879"/>
      <c r="L111" s="1127"/>
      <c r="M111" s="1128"/>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0</v>
      </c>
    </row>
    <row r="112" spans="4:35" ht="12.75" customHeight="1" x14ac:dyDescent="0.2">
      <c r="D112" s="660" t="s">
        <v>1310</v>
      </c>
      <c r="E112" s="664"/>
      <c r="F112" s="669"/>
      <c r="G112" s="879"/>
      <c r="H112" s="879"/>
      <c r="I112" s="879"/>
      <c r="J112" s="879"/>
      <c r="K112" s="879"/>
      <c r="L112" s="1127"/>
      <c r="M112" s="1128"/>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0</v>
      </c>
    </row>
    <row r="113" spans="1:35" ht="12.75" customHeight="1" x14ac:dyDescent="0.2">
      <c r="D113" s="660" t="s">
        <v>1311</v>
      </c>
      <c r="E113" s="664"/>
      <c r="F113" s="669"/>
      <c r="G113" s="879"/>
      <c r="H113" s="879"/>
      <c r="I113" s="879"/>
      <c r="J113" s="879"/>
      <c r="K113" s="879"/>
      <c r="L113" s="1127"/>
      <c r="M113" s="1128"/>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0</v>
      </c>
    </row>
    <row r="114" spans="1:35" ht="12.75" customHeight="1" x14ac:dyDescent="0.2">
      <c r="D114" s="660" t="s">
        <v>1312</v>
      </c>
      <c r="E114" s="664"/>
      <c r="F114" s="669"/>
      <c r="G114" s="879"/>
      <c r="H114" s="879"/>
      <c r="I114" s="879"/>
      <c r="J114" s="879"/>
      <c r="K114" s="879"/>
      <c r="L114" s="1127"/>
      <c r="M114" s="1128"/>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0</v>
      </c>
    </row>
    <row r="115" spans="1:35" ht="12.75" customHeight="1" x14ac:dyDescent="0.2">
      <c r="D115" s="660" t="s">
        <v>1313</v>
      </c>
      <c r="E115" s="664"/>
      <c r="F115" s="669"/>
      <c r="G115" s="879"/>
      <c r="H115" s="879"/>
      <c r="I115" s="879"/>
      <c r="J115" s="879"/>
      <c r="K115" s="879"/>
      <c r="L115" s="1127"/>
      <c r="M115" s="1128"/>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0</v>
      </c>
    </row>
    <row r="116" spans="1:35" ht="12.75" customHeight="1" x14ac:dyDescent="0.2">
      <c r="D116" s="660" t="s">
        <v>1314</v>
      </c>
      <c r="E116" s="664"/>
      <c r="F116" s="669"/>
      <c r="G116" s="879"/>
      <c r="H116" s="879"/>
      <c r="I116" s="879"/>
      <c r="J116" s="879"/>
      <c r="K116" s="879"/>
      <c r="L116" s="1127"/>
      <c r="M116" s="1128"/>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0</v>
      </c>
    </row>
    <row r="117" spans="1:35" ht="12.75" customHeight="1" x14ac:dyDescent="0.2">
      <c r="D117" s="660" t="s">
        <v>1315</v>
      </c>
      <c r="E117" s="664"/>
      <c r="F117" s="669"/>
      <c r="G117" s="879"/>
      <c r="H117" s="879"/>
      <c r="I117" s="879"/>
      <c r="J117" s="879"/>
      <c r="K117" s="879"/>
      <c r="L117" s="1127"/>
      <c r="M117" s="1128"/>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0</v>
      </c>
    </row>
    <row r="118" spans="1:35" ht="12.75" customHeight="1" x14ac:dyDescent="0.2">
      <c r="D118" s="660" t="s">
        <v>1316</v>
      </c>
      <c r="E118" s="664"/>
      <c r="F118" s="669"/>
      <c r="G118" s="879"/>
      <c r="H118" s="879"/>
      <c r="I118" s="879"/>
      <c r="J118" s="879"/>
      <c r="K118" s="879"/>
      <c r="L118" s="1127"/>
      <c r="M118" s="1128"/>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0</v>
      </c>
    </row>
    <row r="119" spans="1:35" ht="12.75" customHeight="1" x14ac:dyDescent="0.2">
      <c r="D119" s="660" t="s">
        <v>1317</v>
      </c>
      <c r="E119" s="664"/>
      <c r="F119" s="669"/>
      <c r="G119" s="879"/>
      <c r="H119" s="879"/>
      <c r="I119" s="879"/>
      <c r="J119" s="879"/>
      <c r="K119" s="879"/>
      <c r="L119" s="1127"/>
      <c r="M119" s="1128"/>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0</v>
      </c>
    </row>
    <row r="120" spans="1:35" ht="12.75" customHeight="1" x14ac:dyDescent="0.2">
      <c r="D120" s="142" t="s">
        <v>1318</v>
      </c>
      <c r="E120" s="666"/>
      <c r="F120" s="670"/>
      <c r="G120" s="877"/>
      <c r="H120" s="877"/>
      <c r="I120" s="877"/>
      <c r="J120" s="877"/>
      <c r="K120" s="877"/>
      <c r="L120" s="1149"/>
      <c r="M120" s="1150"/>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0</v>
      </c>
    </row>
    <row r="121" spans="1:35" ht="12.75" customHeight="1" x14ac:dyDescent="0.25"/>
    <row r="122" spans="1:35" ht="12.75" hidden="1" customHeight="1" x14ac:dyDescent="0.25">
      <c r="A122" s="89" t="s">
        <v>0</v>
      </c>
      <c r="B122" s="89"/>
      <c r="C122" s="89"/>
      <c r="D122" s="89"/>
      <c r="E122" s="89"/>
      <c r="F122" s="89"/>
      <c r="G122" s="89"/>
      <c r="H122" s="89"/>
      <c r="I122" s="89"/>
      <c r="J122" s="89"/>
      <c r="K122" s="89"/>
      <c r="L122" s="89"/>
      <c r="M122" s="89"/>
      <c r="N122" s="89"/>
      <c r="O122" s="89"/>
      <c r="P122" s="90" t="s">
        <v>7</v>
      </c>
      <c r="Q122" s="89"/>
    </row>
    <row r="123" spans="1:35" ht="12.75" hidden="1" customHeight="1" x14ac:dyDescent="0.25">
      <c r="A123" s="89" t="s">
        <v>0</v>
      </c>
      <c r="B123" s="89"/>
      <c r="C123" s="89"/>
      <c r="D123" s="89"/>
      <c r="E123" s="89"/>
      <c r="F123" s="89"/>
      <c r="G123" s="89"/>
      <c r="H123" s="89"/>
      <c r="I123" s="89"/>
      <c r="J123" s="386" t="s">
        <v>1319</v>
      </c>
      <c r="K123" s="102" t="b">
        <f>COUNTA(I9,L9,I20,E62:F71)&gt;0</f>
        <v>0</v>
      </c>
      <c r="L123" s="89"/>
      <c r="M123" s="89"/>
      <c r="N123" s="89"/>
      <c r="O123" s="89"/>
      <c r="P123" s="90"/>
      <c r="Q123" s="89"/>
    </row>
    <row r="124" spans="1:35" ht="12.75" hidden="1" customHeight="1" x14ac:dyDescent="0.25">
      <c r="A124" s="89" t="s">
        <v>0</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phoneticPr fontId="68" type="noConversion"/>
  <conditionalFormatting sqref="F82:N91">
    <cfRule type="expression" dxfId="512" priority="18">
      <formula>$AI82</formula>
    </cfRule>
  </conditionalFormatting>
  <conditionalFormatting sqref="F101:N120">
    <cfRule type="expression" dxfId="511" priority="3">
      <formula>$AI101</formula>
    </cfRule>
  </conditionalFormatting>
  <conditionalFormatting sqref="G101:K120">
    <cfRule type="expression" dxfId="510" priority="4">
      <formula>$AH101</formula>
    </cfRule>
  </conditionalFormatting>
  <conditionalFormatting sqref="G3:N4">
    <cfRule type="expression" dxfId="509" priority="11">
      <formula>COUNTIF($AG:$AG,CONST_ErrorOrMissing&amp;R3)&gt;0</formula>
    </cfRule>
  </conditionalFormatting>
  <conditionalFormatting sqref="I62:N71">
    <cfRule type="expression" dxfId="508" priority="19">
      <formula>$AI62</formula>
    </cfRule>
  </conditionalFormatting>
  <conditionalFormatting sqref="O9">
    <cfRule type="expression" dxfId="507" priority="5">
      <formula>$V9=TRUE</formula>
    </cfRule>
    <cfRule type="expression" dxfId="506" priority="6">
      <formula>$V9=CONST_NA</formula>
    </cfRule>
  </conditionalFormatting>
  <conditionalFormatting sqref="O19:O20">
    <cfRule type="expression" dxfId="505" priority="1">
      <formula>$V19=TRUE</formula>
    </cfRule>
    <cfRule type="expression" dxfId="504" priority="2">
      <formula>$V19=CONST_NA</formula>
    </cfRule>
  </conditionalFormatting>
  <conditionalFormatting sqref="O26">
    <cfRule type="expression" dxfId="503" priority="7">
      <formula>$V26=TRUE</formula>
    </cfRule>
    <cfRule type="expression" dxfId="502" priority="8">
      <formula>$V26=CONST_NA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defaultColWidth="11.42578125" defaultRowHeight="12.75" x14ac:dyDescent="0.25"/>
  <cols>
    <col min="1" max="1" width="4.7109375" style="89" hidden="1" customWidth="1"/>
    <col min="2" max="3" width="3.7109375" style="91" customWidth="1"/>
    <col min="4" max="5" width="20.7109375" style="91" customWidth="1"/>
    <col min="6" max="6" width="15.7109375" style="91" customWidth="1"/>
    <col min="7" max="19" width="12.7109375" style="91" customWidth="1"/>
    <col min="20" max="21" width="12.7109375" style="91" hidden="1" customWidth="1"/>
    <col min="22" max="27" width="12.7109375" style="91" customWidth="1"/>
    <col min="28" max="29" width="12.7109375" style="91" hidden="1" customWidth="1"/>
    <col min="30" max="48" width="12.7109375" style="91" customWidth="1"/>
    <col min="49" max="49" width="12.7109375" style="91" hidden="1" customWidth="1"/>
    <col min="50" max="51" width="12.7109375" style="91" customWidth="1"/>
    <col min="52" max="52" width="11.42578125" style="91"/>
    <col min="53" max="69" width="11.42578125" style="89" hidden="1" customWidth="1"/>
    <col min="70" max="16384" width="11.42578125" style="91"/>
  </cols>
  <sheetData>
    <row r="1" spans="1:69" s="89" customFormat="1" ht="14.1" hidden="1" customHeight="1" thickBot="1" x14ac:dyDescent="0.3">
      <c r="A1" s="89" t="s">
        <v>0</v>
      </c>
      <c r="T1" s="89" t="s">
        <v>0</v>
      </c>
      <c r="U1" s="89" t="s">
        <v>0</v>
      </c>
      <c r="AB1" s="89" t="s">
        <v>0</v>
      </c>
      <c r="AC1" s="89" t="s">
        <v>0</v>
      </c>
      <c r="AW1" s="89" t="s">
        <v>0</v>
      </c>
      <c r="BA1" s="89" t="s">
        <v>0</v>
      </c>
      <c r="BB1" s="89" t="s">
        <v>0</v>
      </c>
      <c r="BC1" s="89" t="s">
        <v>0</v>
      </c>
      <c r="BD1" s="89" t="s">
        <v>0</v>
      </c>
      <c r="BE1" s="89" t="s">
        <v>0</v>
      </c>
      <c r="BF1" s="89" t="s">
        <v>0</v>
      </c>
      <c r="BG1" s="89" t="s">
        <v>0</v>
      </c>
      <c r="BH1" s="89" t="s">
        <v>0</v>
      </c>
      <c r="BI1" s="89" t="s">
        <v>0</v>
      </c>
      <c r="BJ1" s="89" t="s">
        <v>0</v>
      </c>
      <c r="BK1" s="89" t="s">
        <v>0</v>
      </c>
      <c r="BL1" s="89" t="s">
        <v>0</v>
      </c>
      <c r="BM1" s="89" t="s">
        <v>0</v>
      </c>
      <c r="BN1" s="89" t="s">
        <v>0</v>
      </c>
      <c r="BO1" s="89" t="s">
        <v>0</v>
      </c>
      <c r="BP1" s="89" t="s">
        <v>0</v>
      </c>
      <c r="BQ1" s="89" t="s">
        <v>0</v>
      </c>
    </row>
    <row r="2" spans="1:69" ht="14.1" customHeight="1" thickBot="1" x14ac:dyDescent="0.3">
      <c r="B2" s="1073" t="str">
        <f>Translations!$B$127</f>
        <v>Source streams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BA2" s="89" t="s">
        <v>1</v>
      </c>
      <c r="BB2" s="93" t="str">
        <f>ADDRESS(ROW($B$8),COLUMN($B$8)) &amp; ":" &amp; ADDRESS(MATCH("PRINT",$AZ:$AZ,0),COLUMN($AZ$8))</f>
        <v>$B$8:$AZ$124</v>
      </c>
      <c r="BC2" s="89" t="s">
        <v>2</v>
      </c>
      <c r="BD2" s="102" t="str">
        <f ca="1">IF(ISERROR(CELL("filename",BE2)),"MSParameters",MID(CELL("filename",BE2),FIND("]",CELL("filename",BE2))+1,1024))</f>
        <v>B_EmInst</v>
      </c>
    </row>
    <row r="3" spans="1:69" ht="14.1" customHeight="1" x14ac:dyDescent="0.25">
      <c r="B3" s="1076"/>
      <c r="C3" s="1077"/>
      <c r="D3" s="1078"/>
      <c r="E3" s="1068"/>
      <c r="F3" s="1068"/>
      <c r="G3" s="1068" t="str">
        <f>IFERROR(HYPERLINK("#"&amp;ADDRESS(ROW($A$1)+MATCH(BA3,$A:$A,0)-1,3),INDEX($BA:$BA,MATCH(BA3,$A:$A,0))),"")</f>
        <v>Source streams</v>
      </c>
      <c r="H3" s="1068"/>
      <c r="I3" s="1068" t="str">
        <f>IFERROR(HYPERLINK("#"&amp;ADDRESS(ROW($A$1)+MATCH(BC3,$A:$A,0)-1,3),INDEX($BA:$BA,MATCH(BC3,$A:$A,0))),"")</f>
        <v>PFC Emissions</v>
      </c>
      <c r="J3" s="1068"/>
      <c r="K3" s="1068" t="str">
        <f>IFERROR(HYPERLINK("#"&amp;ADDRESS(ROW($A$1)+MATCH(BE3,$A:$A,0)-1,3),INDEX($BA:$BA,MATCH(BE3,$A:$A,0))),"")</f>
        <v>Emission sources</v>
      </c>
      <c r="L3" s="1068"/>
      <c r="M3" s="1068" t="str">
        <f>IFERROR(HYPERLINK("#"&amp;ADDRESS(ROW($A$1)+MATCH(BG3,$A:$A,0)-1,3),INDEX($BA:$BA,MATCH(BG3,$A:$A,0))),"")</f>
        <v/>
      </c>
      <c r="N3" s="1068"/>
      <c r="BA3" s="306">
        <v>1</v>
      </c>
      <c r="BB3" s="307"/>
      <c r="BC3" s="307">
        <v>2</v>
      </c>
      <c r="BD3" s="307"/>
      <c r="BE3" s="307">
        <v>3</v>
      </c>
      <c r="BF3" s="307"/>
      <c r="BG3" s="308">
        <v>4</v>
      </c>
    </row>
    <row r="4" spans="1:69" ht="14.1" customHeight="1" thickBot="1" x14ac:dyDescent="0.3">
      <c r="B4" s="1079"/>
      <c r="C4" s="1080"/>
      <c r="D4" s="1081"/>
      <c r="E4" s="1068"/>
      <c r="F4" s="1068"/>
      <c r="G4" s="1068" t="str">
        <f>IFERROR(HYPERLINK("#"&amp;ADDRESS(ROW($A$1)+MATCH(BA4,$A:$A,0)-1,3),INDEX($BA:$BA,MATCH(BA4,$A:$A,0))),"")</f>
        <v/>
      </c>
      <c r="H4" s="1068"/>
      <c r="I4" s="1068" t="str">
        <f>IFERROR(HYPERLINK("#"&amp;ADDRESS(ROW($A$1)+MATCH(BC4,$A:$A,0)-1,3),INDEX($BA:$BA,MATCH(BC4,$A:$A,0))),"")</f>
        <v/>
      </c>
      <c r="J4" s="1068"/>
      <c r="K4" s="1068" t="str">
        <f>IFERROR(HYPERLINK("#"&amp;ADDRESS(ROW($A$1)+MATCH(BE4,$A:$A,0)-1,3),INDEX($BA:$BA,MATCH(BE4,$A:$A,0))),"")</f>
        <v/>
      </c>
      <c r="L4" s="1068"/>
      <c r="M4" s="1068" t="str">
        <f>IFERROR(HYPERLINK("#"&amp;ADDRESS(ROW($A$1)+MATCH(BG4,$A:$A,0)-1,3),INDEX($BA:$BA,MATCH(BG4,$A:$A,0))),"")</f>
        <v/>
      </c>
      <c r="N4" s="1068"/>
      <c r="BA4" s="311">
        <v>5</v>
      </c>
      <c r="BB4" s="312"/>
      <c r="BC4" s="312">
        <v>6</v>
      </c>
      <c r="BD4" s="312"/>
      <c r="BE4" s="312">
        <v>7</v>
      </c>
      <c r="BF4" s="312"/>
      <c r="BG4" s="313">
        <v>8</v>
      </c>
    </row>
    <row r="5" spans="1:69" ht="5.0999999999999996" customHeight="1" x14ac:dyDescent="0.25">
      <c r="O5" s="32"/>
      <c r="P5" s="32"/>
      <c r="Q5" s="32"/>
      <c r="R5" s="32"/>
      <c r="S5" s="32"/>
      <c r="T5" s="32"/>
      <c r="U5" s="32"/>
      <c r="V5" s="32"/>
      <c r="W5" s="32"/>
      <c r="X5" s="32"/>
      <c r="Y5" s="32"/>
      <c r="Z5" s="32"/>
      <c r="AA5" s="32"/>
      <c r="AB5" s="32"/>
      <c r="AC5" s="32"/>
      <c r="AD5" s="32"/>
      <c r="AE5" s="32"/>
      <c r="AF5" s="32"/>
      <c r="AG5" s="32"/>
      <c r="AH5" s="32"/>
    </row>
    <row r="6" spans="1:69" ht="25.5" customHeight="1" x14ac:dyDescent="0.25">
      <c r="C6" s="106" t="s">
        <v>13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x14ac:dyDescent="0.25">
      <c r="O7" s="32"/>
      <c r="P7" s="32"/>
      <c r="Q7" s="32"/>
      <c r="R7" s="32"/>
      <c r="S7" s="32"/>
      <c r="T7" s="32"/>
      <c r="U7" s="32"/>
      <c r="V7" s="32"/>
      <c r="W7" s="32"/>
      <c r="X7" s="32"/>
      <c r="Y7" s="32"/>
      <c r="Z7" s="32"/>
      <c r="AA7" s="32"/>
      <c r="AB7" s="32"/>
      <c r="AC7" s="32"/>
      <c r="AD7" s="32"/>
      <c r="AE7" s="32"/>
      <c r="AF7" s="32"/>
      <c r="AG7" s="32"/>
      <c r="AH7" s="32"/>
    </row>
    <row r="8" spans="1:69" ht="18" customHeight="1" x14ac:dyDescent="0.25">
      <c r="C8" s="31">
        <v>1</v>
      </c>
      <c r="D8" s="1173" t="str">
        <f>Translations!$B$129</f>
        <v>Source streams and emission sources</v>
      </c>
      <c r="E8" s="1173"/>
      <c r="F8" s="1173"/>
      <c r="G8" s="1173"/>
      <c r="H8" s="1173"/>
      <c r="I8" s="1173"/>
      <c r="J8" s="1173"/>
      <c r="K8" s="1173"/>
      <c r="L8" s="1173"/>
      <c r="M8" s="1173"/>
      <c r="N8" s="1173"/>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x14ac:dyDescent="0.2">
      <c r="C9" s="13"/>
      <c r="D9" s="1171"/>
      <c r="E9" s="1171"/>
      <c r="F9" s="1171"/>
      <c r="G9" s="1171"/>
      <c r="H9" s="1171"/>
      <c r="I9" s="1171"/>
      <c r="J9" s="1171"/>
      <c r="K9" s="1171"/>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
      <c r="C10" s="13"/>
      <c r="D10" s="1172" t="str">
        <f ca="1">HYPERLINK("#"&amp;ADDRESS(MATCH($BB10,G_FurtherGuidance!$S:$S,0),3,,,G_FurtherGuidance!$U$2),CONST_LinkToGuidanceSheet)</f>
        <v>Please click on this link for further guidance on how to complete this section.</v>
      </c>
      <c r="E10" s="1172"/>
      <c r="F10" s="1172"/>
      <c r="G10" s="1172"/>
      <c r="H10" s="1172"/>
      <c r="I10" s="1172"/>
      <c r="J10" s="1172"/>
      <c r="K10" s="1172"/>
      <c r="L10" s="1172"/>
      <c r="M10" s="1172"/>
      <c r="N10" s="117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1320</v>
      </c>
      <c r="BB10" s="105">
        <v>2</v>
      </c>
    </row>
    <row r="11" spans="1:69" ht="5.0999999999999996" customHeight="1" x14ac:dyDescent="0.2">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x14ac:dyDescent="0.3">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1321</v>
      </c>
      <c r="U12" s="14" t="s">
        <v>1321</v>
      </c>
      <c r="V12" s="16"/>
      <c r="W12" s="16"/>
      <c r="X12" s="16"/>
      <c r="Y12" s="16"/>
      <c r="Z12" s="16"/>
      <c r="AA12" s="16"/>
      <c r="AB12" s="14" t="s">
        <v>1321</v>
      </c>
      <c r="AC12" s="14" t="s">
        <v>1321</v>
      </c>
      <c r="AD12" s="16"/>
      <c r="AE12" s="16"/>
      <c r="AF12" s="16"/>
      <c r="AG12" s="16"/>
      <c r="AH12" s="16"/>
      <c r="AI12" s="16"/>
      <c r="AJ12" s="16"/>
      <c r="AK12" s="16"/>
      <c r="AL12" s="16"/>
      <c r="AM12" s="16"/>
      <c r="AN12" s="16"/>
      <c r="AO12" s="16"/>
      <c r="AP12" s="16"/>
      <c r="AQ12" s="16"/>
      <c r="AR12" s="16"/>
      <c r="AS12" s="16"/>
      <c r="AT12" s="16"/>
      <c r="AU12" s="16"/>
      <c r="AV12" s="16"/>
      <c r="AW12" s="14" t="s">
        <v>1321</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x14ac:dyDescent="0.2">
      <c r="C14" s="623" t="str">
        <f>Translations!$B$180</f>
        <v>Ex.1</v>
      </c>
      <c r="D14" s="624" t="str">
        <f>Translations!$B$181</f>
        <v>Combustion</v>
      </c>
      <c r="E14" s="624" t="str">
        <f>Translations!$B$182</f>
        <v>Heavy fuel oil</v>
      </c>
      <c r="F14" s="625">
        <v>252000</v>
      </c>
      <c r="G14" s="626" t="s">
        <v>1322</v>
      </c>
      <c r="H14" s="625">
        <v>45</v>
      </c>
      <c r="I14" s="626" t="str">
        <f>Translations!$B$183</f>
        <v>GJ/t</v>
      </c>
      <c r="J14" s="625">
        <v>73</v>
      </c>
      <c r="K14" s="626" t="str">
        <f>Translations!$B$184</f>
        <v>tCO2/TJ</v>
      </c>
      <c r="L14" s="1050"/>
      <c r="M14" s="626" t="s">
        <v>1323</v>
      </c>
      <c r="N14" s="625">
        <v>100</v>
      </c>
      <c r="O14" s="626" t="s">
        <v>1324</v>
      </c>
      <c r="P14" s="625"/>
      <c r="Q14" s="626" t="s">
        <v>1324</v>
      </c>
      <c r="R14" s="625">
        <v>0</v>
      </c>
      <c r="S14" s="626" t="s">
        <v>1324</v>
      </c>
      <c r="T14" s="627">
        <v>0</v>
      </c>
      <c r="U14" s="627" t="s">
        <v>1324</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x14ac:dyDescent="0.2">
      <c r="C15" s="631" t="str">
        <f>Translations!$B$185</f>
        <v>Ex.2</v>
      </c>
      <c r="D15" s="632" t="str">
        <f>Translations!$B$186</f>
        <v>Process Emissions</v>
      </c>
      <c r="E15" s="632" t="str">
        <f>Translations!$B$187</f>
        <v>Raw meal for clinker</v>
      </c>
      <c r="F15" s="633">
        <v>121000</v>
      </c>
      <c r="G15" s="634" t="s">
        <v>1322</v>
      </c>
      <c r="H15" s="633"/>
      <c r="I15" s="634" t="s">
        <v>1323</v>
      </c>
      <c r="J15" s="633">
        <v>8.7940000000000004E-2</v>
      </c>
      <c r="K15" s="634" t="str">
        <f>Translations!$B$188</f>
        <v>tCO2/t</v>
      </c>
      <c r="L15" s="1051"/>
      <c r="M15" s="634" t="s">
        <v>1323</v>
      </c>
      <c r="N15" s="633"/>
      <c r="O15" s="634" t="s">
        <v>1324</v>
      </c>
      <c r="P15" s="633"/>
      <c r="Q15" s="634" t="s">
        <v>1324</v>
      </c>
      <c r="R15" s="633">
        <v>0</v>
      </c>
      <c r="S15" s="634" t="s">
        <v>1324</v>
      </c>
      <c r="T15" s="635">
        <v>0</v>
      </c>
      <c r="U15" s="635" t="s">
        <v>1324</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1325</v>
      </c>
      <c r="BH15" s="89" t="s">
        <v>1326</v>
      </c>
    </row>
    <row r="16" spans="1:69" ht="12.75" customHeight="1" x14ac:dyDescent="0.2">
      <c r="C16" s="639" t="str">
        <f>Translations!$B$189</f>
        <v>Ex.3</v>
      </c>
      <c r="D16" s="640" t="str">
        <f>Translations!$B$190</f>
        <v>Mass balance</v>
      </c>
      <c r="E16" s="640" t="str">
        <f>Translations!$B$191</f>
        <v>Steel</v>
      </c>
      <c r="F16" s="641">
        <v>-1808226</v>
      </c>
      <c r="G16" s="642" t="s">
        <v>1322</v>
      </c>
      <c r="H16" s="641"/>
      <c r="I16" s="642" t="s">
        <v>1323</v>
      </c>
      <c r="J16" s="641">
        <v>0</v>
      </c>
      <c r="K16" s="642" t="s">
        <v>1323</v>
      </c>
      <c r="L16" s="1052">
        <v>0.38779999999999998</v>
      </c>
      <c r="M16" s="642" t="str">
        <f>Translations!$B$192</f>
        <v>tC/t</v>
      </c>
      <c r="N16" s="641"/>
      <c r="O16" s="642" t="s">
        <v>1324</v>
      </c>
      <c r="P16" s="641">
        <v>100</v>
      </c>
      <c r="Q16" s="642" t="s">
        <v>1324</v>
      </c>
      <c r="R16" s="641">
        <v>0</v>
      </c>
      <c r="S16" s="642" t="s">
        <v>1324</v>
      </c>
      <c r="T16" s="643">
        <v>0</v>
      </c>
      <c r="U16" s="643" t="s">
        <v>1324</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x14ac:dyDescent="0.2">
      <c r="C17" s="554">
        <v>1</v>
      </c>
      <c r="D17" s="555"/>
      <c r="E17" s="555"/>
      <c r="F17" s="556"/>
      <c r="G17" s="557"/>
      <c r="H17" s="556"/>
      <c r="I17" s="558" t="str">
        <f t="shared" ref="I17:I48" si="0">IF(E17="","",IF(G17=CONST_kNm3,CONST_GJpkNm3,CONST_GJpt))</f>
        <v/>
      </c>
      <c r="J17" s="556"/>
      <c r="K17" s="559"/>
      <c r="L17" s="1053"/>
      <c r="M17" s="560" t="str">
        <f t="shared" ref="M17:M48" si="1">IF(D17&lt;&gt;INDEX(CONST_MonitoringApproach,3),"",CONST_tC&amp;"/"&amp;IF(G17="",CONST_t,G17))</f>
        <v/>
      </c>
      <c r="N17" s="556"/>
      <c r="O17" s="559" t="s">
        <v>1324</v>
      </c>
      <c r="P17" s="556"/>
      <c r="Q17" s="559" t="s">
        <v>1324</v>
      </c>
      <c r="R17" s="556"/>
      <c r="S17" s="561" t="s">
        <v>1324</v>
      </c>
      <c r="T17" s="562"/>
      <c r="U17" s="562" t="s">
        <v>1324</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t="str">
        <f t="shared" ref="AU17:AU48" si="2">IF($D17="","",INDEX($BD17:$BF17,MATCH($D17,CONST_MonitoringApproach,0)))</f>
        <v/>
      </c>
      <c r="AV17" s="564" t="str">
        <f t="shared" ref="AV17:AV48" si="3">IF($D17="","",INDEX($BH17:$BJ17,MATCH($D17,CONST_MonitoringApproach,0)))</f>
        <v/>
      </c>
      <c r="AW17" s="562"/>
      <c r="AX17" s="565" t="str">
        <f>IF($D17="","",$F17*$H17/1000*(1-$R17/100))</f>
        <v/>
      </c>
      <c r="AY17" s="565" t="str">
        <f>IF($D17="","",$F17*$H17/1000*($R17/100))</f>
        <v/>
      </c>
      <c r="BA17" s="102" t="str">
        <f t="shared" ref="BA17:BA48" si="4">CONST_CNTR_SUM_CO2</f>
        <v>SUM_CO2</v>
      </c>
      <c r="BD17" s="127" t="str">
        <f t="shared" ref="BD17:BD48" si="5">IF($D17&lt;&gt;INDEX(CONST_MonitoringApproach,1),"",$F17*IF($K17=CONST_tCO2pTJ,$H17/1000,1)*$J17*(1-$R17/100))</f>
        <v/>
      </c>
      <c r="BE17" s="127" t="str">
        <f t="shared" ref="BE17:BE48" si="6">IF($D17&lt;&gt;INDEX(CONST_MonitoringApproach,2),"",$F17*IF($K17=CONST_tCO2pTJ,$H17/1000,1)*$J17*$P17/100*(1-$R17/100))</f>
        <v/>
      </c>
      <c r="BF17" s="127" t="str">
        <f t="shared" ref="BF17:BF48" si="7">IF($D17&lt;&gt;INDEX(CONST_MonitoringApproach,3),"",$F17*3.664*$L17*(1-$R17/100))</f>
        <v/>
      </c>
      <c r="BH17" s="127" t="str">
        <f t="shared" ref="BH17:BH48" si="8">IF($D17&lt;&gt;INDEX(CONST_MonitoringApproach,1),"",$F17*IF($K17=CONST_tCO2pTJ,$H17/1000,1)*$J17*($R17/100))</f>
        <v/>
      </c>
      <c r="BI17" s="127" t="str">
        <f t="shared" ref="BI17:BI48" si="9">IF($D17&lt;&gt;INDEX(CONST_MonitoringApproach,2),"",$F17*IF($K17=CONST_tCO2pTJ,$H17/1000,1)*$J17*$P17/100*($R17/100))</f>
        <v/>
      </c>
      <c r="BJ17" s="127" t="str">
        <f t="shared" ref="BJ17:BJ48" si="10">IF($D17&lt;&gt;INDEX(CONST_MonitoringApproach,3),"",$F17*$L17*3.664*($R17/100))</f>
        <v/>
      </c>
      <c r="BK17" s="128"/>
      <c r="BL17" s="127" t="str">
        <f t="shared" ref="BL17:BL48" si="11">IF($D17="","",MATCH($D17,CONST_MonitoringApproach,0)=3)</f>
        <v/>
      </c>
      <c r="BM17" s="127" t="str">
        <f t="shared" ref="BM17:BM48" si="12">IF($D17="","",MATCH($D17,CONST_MonitoringApproach,0)&lt;&gt;3)</f>
        <v/>
      </c>
      <c r="BN17" s="127" t="str">
        <f t="shared" ref="BN17:BN48" si="13">IF($D17="","",MATCH($D17,CONST_MonitoringApproach,0)&lt;&gt;1)</f>
        <v/>
      </c>
      <c r="BO17" s="127" t="str">
        <f t="shared" ref="BO17:BO48" si="14">IF($D17="","",MATCH($D17,CONST_MonitoringApproach,0)&lt;&gt;2)</f>
        <v/>
      </c>
      <c r="BP17" s="128"/>
      <c r="BQ17" s="127" t="b">
        <f t="shared" ref="BQ17:BQ48" si="15">AND(CNTR_HasEntriesA,D17="")</f>
        <v>0</v>
      </c>
    </row>
    <row r="18" spans="3:69" ht="12.75" customHeight="1" x14ac:dyDescent="0.2">
      <c r="C18" s="566">
        <v>2</v>
      </c>
      <c r="D18" s="567"/>
      <c r="E18" s="567"/>
      <c r="F18" s="568"/>
      <c r="G18" s="569"/>
      <c r="H18" s="568"/>
      <c r="I18" s="570" t="str">
        <f t="shared" si="0"/>
        <v/>
      </c>
      <c r="J18" s="568"/>
      <c r="K18" s="571"/>
      <c r="L18" s="1054"/>
      <c r="M18" s="572" t="str">
        <f t="shared" si="1"/>
        <v/>
      </c>
      <c r="N18" s="568"/>
      <c r="O18" s="571" t="s">
        <v>1324</v>
      </c>
      <c r="P18" s="568"/>
      <c r="Q18" s="571" t="s">
        <v>1324</v>
      </c>
      <c r="R18" s="568"/>
      <c r="S18" s="573" t="s">
        <v>1324</v>
      </c>
      <c r="T18" s="574"/>
      <c r="U18" s="574" t="s">
        <v>1324</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0</v>
      </c>
    </row>
    <row r="19" spans="3:69" ht="12.75" customHeight="1" x14ac:dyDescent="0.2">
      <c r="C19" s="566">
        <v>3</v>
      </c>
      <c r="D19" s="567"/>
      <c r="E19" s="567"/>
      <c r="F19" s="568"/>
      <c r="G19" s="569"/>
      <c r="H19" s="568"/>
      <c r="I19" s="570" t="str">
        <f t="shared" si="0"/>
        <v/>
      </c>
      <c r="J19" s="568"/>
      <c r="K19" s="571"/>
      <c r="L19" s="1054"/>
      <c r="M19" s="572" t="str">
        <f t="shared" si="1"/>
        <v/>
      </c>
      <c r="N19" s="568"/>
      <c r="O19" s="571" t="s">
        <v>1324</v>
      </c>
      <c r="P19" s="568"/>
      <c r="Q19" s="571" t="s">
        <v>1324</v>
      </c>
      <c r="R19" s="568"/>
      <c r="S19" s="573" t="s">
        <v>1324</v>
      </c>
      <c r="T19" s="574"/>
      <c r="U19" s="574" t="s">
        <v>1324</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0</v>
      </c>
    </row>
    <row r="20" spans="3:69" ht="12.75" customHeight="1" x14ac:dyDescent="0.2">
      <c r="C20" s="566">
        <v>4</v>
      </c>
      <c r="D20" s="567"/>
      <c r="E20" s="567"/>
      <c r="F20" s="568"/>
      <c r="G20" s="569"/>
      <c r="H20" s="568"/>
      <c r="I20" s="570" t="str">
        <f t="shared" si="0"/>
        <v/>
      </c>
      <c r="J20" s="568"/>
      <c r="K20" s="571"/>
      <c r="L20" s="1054"/>
      <c r="M20" s="572" t="str">
        <f t="shared" si="1"/>
        <v/>
      </c>
      <c r="N20" s="568"/>
      <c r="O20" s="571" t="s">
        <v>1324</v>
      </c>
      <c r="P20" s="568"/>
      <c r="Q20" s="571" t="s">
        <v>1324</v>
      </c>
      <c r="R20" s="568"/>
      <c r="S20" s="573" t="s">
        <v>1324</v>
      </c>
      <c r="T20" s="574"/>
      <c r="U20" s="574" t="s">
        <v>1324</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0</v>
      </c>
    </row>
    <row r="21" spans="3:69" ht="12.75" customHeight="1" x14ac:dyDescent="0.2">
      <c r="C21" s="566">
        <v>5</v>
      </c>
      <c r="D21" s="567"/>
      <c r="E21" s="567"/>
      <c r="F21" s="568"/>
      <c r="G21" s="569"/>
      <c r="H21" s="568"/>
      <c r="I21" s="570" t="str">
        <f t="shared" si="0"/>
        <v/>
      </c>
      <c r="J21" s="568"/>
      <c r="K21" s="571"/>
      <c r="L21" s="1054"/>
      <c r="M21" s="572" t="str">
        <f t="shared" si="1"/>
        <v/>
      </c>
      <c r="N21" s="568"/>
      <c r="O21" s="571" t="s">
        <v>1324</v>
      </c>
      <c r="P21" s="568"/>
      <c r="Q21" s="571" t="s">
        <v>1324</v>
      </c>
      <c r="R21" s="568"/>
      <c r="S21" s="573" t="s">
        <v>1324</v>
      </c>
      <c r="T21" s="574"/>
      <c r="U21" s="574" t="s">
        <v>1324</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0</v>
      </c>
    </row>
    <row r="22" spans="3:69" ht="12.75" customHeight="1" x14ac:dyDescent="0.2">
      <c r="C22" s="566">
        <v>6</v>
      </c>
      <c r="D22" s="567"/>
      <c r="E22" s="567"/>
      <c r="F22" s="568"/>
      <c r="G22" s="569"/>
      <c r="H22" s="568"/>
      <c r="I22" s="570" t="str">
        <f t="shared" si="0"/>
        <v/>
      </c>
      <c r="J22" s="568"/>
      <c r="K22" s="571"/>
      <c r="L22" s="1054"/>
      <c r="M22" s="572" t="str">
        <f t="shared" si="1"/>
        <v/>
      </c>
      <c r="N22" s="568"/>
      <c r="O22" s="571" t="s">
        <v>1324</v>
      </c>
      <c r="P22" s="568"/>
      <c r="Q22" s="571" t="s">
        <v>1324</v>
      </c>
      <c r="R22" s="568"/>
      <c r="S22" s="573" t="s">
        <v>1324</v>
      </c>
      <c r="T22" s="574"/>
      <c r="U22" s="574" t="s">
        <v>1324</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0</v>
      </c>
    </row>
    <row r="23" spans="3:69" ht="12.75" customHeight="1" x14ac:dyDescent="0.2">
      <c r="C23" s="566">
        <v>7</v>
      </c>
      <c r="D23" s="567"/>
      <c r="E23" s="567"/>
      <c r="F23" s="568"/>
      <c r="G23" s="569"/>
      <c r="H23" s="568"/>
      <c r="I23" s="570" t="str">
        <f t="shared" si="0"/>
        <v/>
      </c>
      <c r="J23" s="568"/>
      <c r="K23" s="571"/>
      <c r="L23" s="1054"/>
      <c r="M23" s="572" t="str">
        <f t="shared" si="1"/>
        <v/>
      </c>
      <c r="N23" s="568"/>
      <c r="O23" s="571" t="s">
        <v>1324</v>
      </c>
      <c r="P23" s="568"/>
      <c r="Q23" s="571" t="s">
        <v>1324</v>
      </c>
      <c r="R23" s="568"/>
      <c r="S23" s="573" t="s">
        <v>1324</v>
      </c>
      <c r="T23" s="574"/>
      <c r="U23" s="574" t="s">
        <v>1324</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0</v>
      </c>
    </row>
    <row r="24" spans="3:69" ht="12.75" customHeight="1" x14ac:dyDescent="0.2">
      <c r="C24" s="566">
        <v>8</v>
      </c>
      <c r="D24" s="567"/>
      <c r="E24" s="567"/>
      <c r="F24" s="568"/>
      <c r="G24" s="569"/>
      <c r="H24" s="568"/>
      <c r="I24" s="570" t="str">
        <f t="shared" si="0"/>
        <v/>
      </c>
      <c r="J24" s="568"/>
      <c r="K24" s="571"/>
      <c r="L24" s="1054"/>
      <c r="M24" s="572" t="str">
        <f t="shared" si="1"/>
        <v/>
      </c>
      <c r="N24" s="568"/>
      <c r="O24" s="571" t="s">
        <v>1324</v>
      </c>
      <c r="P24" s="568"/>
      <c r="Q24" s="571" t="s">
        <v>1324</v>
      </c>
      <c r="R24" s="568"/>
      <c r="S24" s="573" t="s">
        <v>1324</v>
      </c>
      <c r="T24" s="574"/>
      <c r="U24" s="574" t="s">
        <v>1324</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0</v>
      </c>
    </row>
    <row r="25" spans="3:69" ht="12.75" customHeight="1" x14ac:dyDescent="0.2">
      <c r="C25" s="566">
        <v>9</v>
      </c>
      <c r="D25" s="567"/>
      <c r="E25" s="567"/>
      <c r="F25" s="568"/>
      <c r="G25" s="569"/>
      <c r="H25" s="568"/>
      <c r="I25" s="570" t="str">
        <f t="shared" si="0"/>
        <v/>
      </c>
      <c r="J25" s="568"/>
      <c r="K25" s="571"/>
      <c r="L25" s="1054"/>
      <c r="M25" s="572" t="str">
        <f t="shared" si="1"/>
        <v/>
      </c>
      <c r="N25" s="568"/>
      <c r="O25" s="571" t="s">
        <v>1324</v>
      </c>
      <c r="P25" s="568"/>
      <c r="Q25" s="571" t="s">
        <v>1324</v>
      </c>
      <c r="R25" s="568"/>
      <c r="S25" s="573" t="s">
        <v>1324</v>
      </c>
      <c r="T25" s="574"/>
      <c r="U25" s="574" t="s">
        <v>1324</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0</v>
      </c>
    </row>
    <row r="26" spans="3:69" ht="12.75" customHeight="1" x14ac:dyDescent="0.2">
      <c r="C26" s="566">
        <v>10</v>
      </c>
      <c r="D26" s="567"/>
      <c r="E26" s="567"/>
      <c r="F26" s="568"/>
      <c r="G26" s="569"/>
      <c r="H26" s="568"/>
      <c r="I26" s="570" t="str">
        <f t="shared" si="0"/>
        <v/>
      </c>
      <c r="J26" s="568"/>
      <c r="K26" s="571"/>
      <c r="L26" s="1054"/>
      <c r="M26" s="572" t="str">
        <f t="shared" si="1"/>
        <v/>
      </c>
      <c r="N26" s="568"/>
      <c r="O26" s="571" t="s">
        <v>1324</v>
      </c>
      <c r="P26" s="568"/>
      <c r="Q26" s="571" t="s">
        <v>1324</v>
      </c>
      <c r="R26" s="568"/>
      <c r="S26" s="573" t="s">
        <v>1324</v>
      </c>
      <c r="T26" s="574"/>
      <c r="U26" s="574" t="s">
        <v>1324</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0</v>
      </c>
    </row>
    <row r="27" spans="3:69" ht="12.75" customHeight="1" x14ac:dyDescent="0.2">
      <c r="C27" s="566">
        <v>11</v>
      </c>
      <c r="D27" s="567"/>
      <c r="E27" s="567"/>
      <c r="F27" s="568"/>
      <c r="G27" s="569"/>
      <c r="H27" s="568"/>
      <c r="I27" s="570" t="str">
        <f t="shared" si="0"/>
        <v/>
      </c>
      <c r="J27" s="568"/>
      <c r="K27" s="571"/>
      <c r="L27" s="1054"/>
      <c r="M27" s="572" t="str">
        <f t="shared" si="1"/>
        <v/>
      </c>
      <c r="N27" s="568"/>
      <c r="O27" s="571" t="s">
        <v>1324</v>
      </c>
      <c r="P27" s="568"/>
      <c r="Q27" s="571" t="s">
        <v>1324</v>
      </c>
      <c r="R27" s="568"/>
      <c r="S27" s="573" t="s">
        <v>1324</v>
      </c>
      <c r="T27" s="574"/>
      <c r="U27" s="574" t="s">
        <v>1324</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0</v>
      </c>
    </row>
    <row r="28" spans="3:69" ht="12.75" customHeight="1" x14ac:dyDescent="0.2">
      <c r="C28" s="566">
        <v>12</v>
      </c>
      <c r="D28" s="567"/>
      <c r="E28" s="567"/>
      <c r="F28" s="568"/>
      <c r="G28" s="569"/>
      <c r="H28" s="568"/>
      <c r="I28" s="570" t="str">
        <f t="shared" si="0"/>
        <v/>
      </c>
      <c r="J28" s="568"/>
      <c r="K28" s="571"/>
      <c r="L28" s="1054"/>
      <c r="M28" s="572" t="str">
        <f t="shared" si="1"/>
        <v/>
      </c>
      <c r="N28" s="568"/>
      <c r="O28" s="571" t="s">
        <v>1324</v>
      </c>
      <c r="P28" s="568"/>
      <c r="Q28" s="571" t="s">
        <v>1324</v>
      </c>
      <c r="R28" s="568"/>
      <c r="S28" s="573" t="s">
        <v>1324</v>
      </c>
      <c r="T28" s="574"/>
      <c r="U28" s="574" t="s">
        <v>1324</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0</v>
      </c>
    </row>
    <row r="29" spans="3:69" ht="12.75" customHeight="1" x14ac:dyDescent="0.2">
      <c r="C29" s="566">
        <v>13</v>
      </c>
      <c r="D29" s="567"/>
      <c r="E29" s="567"/>
      <c r="F29" s="568"/>
      <c r="G29" s="569"/>
      <c r="H29" s="568"/>
      <c r="I29" s="570" t="str">
        <f t="shared" si="0"/>
        <v/>
      </c>
      <c r="J29" s="568"/>
      <c r="K29" s="571"/>
      <c r="L29" s="1054"/>
      <c r="M29" s="572" t="str">
        <f t="shared" si="1"/>
        <v/>
      </c>
      <c r="N29" s="568"/>
      <c r="O29" s="571" t="s">
        <v>1324</v>
      </c>
      <c r="P29" s="568"/>
      <c r="Q29" s="571" t="s">
        <v>1324</v>
      </c>
      <c r="R29" s="568"/>
      <c r="S29" s="573" t="s">
        <v>1324</v>
      </c>
      <c r="T29" s="574"/>
      <c r="U29" s="574" t="s">
        <v>1324</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0</v>
      </c>
    </row>
    <row r="30" spans="3:69" ht="12.75" customHeight="1" x14ac:dyDescent="0.2">
      <c r="C30" s="566">
        <v>14</v>
      </c>
      <c r="D30" s="567"/>
      <c r="E30" s="567"/>
      <c r="F30" s="568"/>
      <c r="G30" s="569"/>
      <c r="H30" s="568"/>
      <c r="I30" s="570" t="str">
        <f t="shared" si="0"/>
        <v/>
      </c>
      <c r="J30" s="568"/>
      <c r="K30" s="571"/>
      <c r="L30" s="1054"/>
      <c r="M30" s="572" t="str">
        <f t="shared" si="1"/>
        <v/>
      </c>
      <c r="N30" s="568"/>
      <c r="O30" s="571" t="s">
        <v>1324</v>
      </c>
      <c r="P30" s="568"/>
      <c r="Q30" s="571" t="s">
        <v>1324</v>
      </c>
      <c r="R30" s="568"/>
      <c r="S30" s="573" t="s">
        <v>1324</v>
      </c>
      <c r="T30" s="574"/>
      <c r="U30" s="574" t="s">
        <v>1324</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0</v>
      </c>
    </row>
    <row r="31" spans="3:69" ht="12.75" customHeight="1" x14ac:dyDescent="0.2">
      <c r="C31" s="566">
        <v>15</v>
      </c>
      <c r="D31" s="567"/>
      <c r="E31" s="567"/>
      <c r="F31" s="568"/>
      <c r="G31" s="569"/>
      <c r="H31" s="568"/>
      <c r="I31" s="570" t="str">
        <f t="shared" si="0"/>
        <v/>
      </c>
      <c r="J31" s="568"/>
      <c r="K31" s="571"/>
      <c r="L31" s="1054"/>
      <c r="M31" s="572" t="str">
        <f t="shared" si="1"/>
        <v/>
      </c>
      <c r="N31" s="568"/>
      <c r="O31" s="571" t="s">
        <v>1324</v>
      </c>
      <c r="P31" s="568"/>
      <c r="Q31" s="571" t="s">
        <v>1324</v>
      </c>
      <c r="R31" s="568"/>
      <c r="S31" s="573" t="s">
        <v>1324</v>
      </c>
      <c r="T31" s="574"/>
      <c r="U31" s="574" t="s">
        <v>1324</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0</v>
      </c>
    </row>
    <row r="32" spans="3:69" ht="12.75" customHeight="1" x14ac:dyDescent="0.2">
      <c r="C32" s="566">
        <v>16</v>
      </c>
      <c r="D32" s="567"/>
      <c r="E32" s="567"/>
      <c r="F32" s="568"/>
      <c r="G32" s="569"/>
      <c r="H32" s="568"/>
      <c r="I32" s="570" t="str">
        <f t="shared" si="0"/>
        <v/>
      </c>
      <c r="J32" s="568"/>
      <c r="K32" s="571"/>
      <c r="L32" s="1054"/>
      <c r="M32" s="572" t="str">
        <f t="shared" si="1"/>
        <v/>
      </c>
      <c r="N32" s="568"/>
      <c r="O32" s="571" t="s">
        <v>1324</v>
      </c>
      <c r="P32" s="568"/>
      <c r="Q32" s="571" t="s">
        <v>1324</v>
      </c>
      <c r="R32" s="568"/>
      <c r="S32" s="573" t="s">
        <v>1324</v>
      </c>
      <c r="T32" s="574"/>
      <c r="U32" s="574" t="s">
        <v>1324</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0</v>
      </c>
    </row>
    <row r="33" spans="3:69" ht="12.75" customHeight="1" x14ac:dyDescent="0.2">
      <c r="C33" s="566">
        <v>17</v>
      </c>
      <c r="D33" s="567"/>
      <c r="E33" s="567"/>
      <c r="F33" s="568"/>
      <c r="G33" s="569"/>
      <c r="H33" s="568"/>
      <c r="I33" s="570" t="str">
        <f t="shared" si="0"/>
        <v/>
      </c>
      <c r="J33" s="568"/>
      <c r="K33" s="571"/>
      <c r="L33" s="1054"/>
      <c r="M33" s="572" t="str">
        <f t="shared" si="1"/>
        <v/>
      </c>
      <c r="N33" s="568"/>
      <c r="O33" s="571" t="s">
        <v>1324</v>
      </c>
      <c r="P33" s="568"/>
      <c r="Q33" s="571" t="s">
        <v>1324</v>
      </c>
      <c r="R33" s="568"/>
      <c r="S33" s="573" t="s">
        <v>1324</v>
      </c>
      <c r="T33" s="574"/>
      <c r="U33" s="574" t="s">
        <v>1324</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0</v>
      </c>
    </row>
    <row r="34" spans="3:69" ht="12.75" customHeight="1" x14ac:dyDescent="0.2">
      <c r="C34" s="566">
        <v>18</v>
      </c>
      <c r="D34" s="567"/>
      <c r="E34" s="567"/>
      <c r="F34" s="568"/>
      <c r="G34" s="569"/>
      <c r="H34" s="568"/>
      <c r="I34" s="570" t="str">
        <f t="shared" si="0"/>
        <v/>
      </c>
      <c r="J34" s="568"/>
      <c r="K34" s="571"/>
      <c r="L34" s="1054"/>
      <c r="M34" s="572" t="str">
        <f t="shared" si="1"/>
        <v/>
      </c>
      <c r="N34" s="568"/>
      <c r="O34" s="571" t="s">
        <v>1324</v>
      </c>
      <c r="P34" s="568"/>
      <c r="Q34" s="571" t="s">
        <v>1324</v>
      </c>
      <c r="R34" s="568"/>
      <c r="S34" s="573" t="s">
        <v>1324</v>
      </c>
      <c r="T34" s="574"/>
      <c r="U34" s="574" t="s">
        <v>1324</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0</v>
      </c>
    </row>
    <row r="35" spans="3:69" ht="12.75" customHeight="1" x14ac:dyDescent="0.2">
      <c r="C35" s="566">
        <v>19</v>
      </c>
      <c r="D35" s="567"/>
      <c r="E35" s="567"/>
      <c r="F35" s="568"/>
      <c r="G35" s="569"/>
      <c r="H35" s="568"/>
      <c r="I35" s="570" t="str">
        <f t="shared" si="0"/>
        <v/>
      </c>
      <c r="J35" s="568"/>
      <c r="K35" s="571"/>
      <c r="L35" s="1054"/>
      <c r="M35" s="572" t="str">
        <f t="shared" si="1"/>
        <v/>
      </c>
      <c r="N35" s="568"/>
      <c r="O35" s="571" t="s">
        <v>1324</v>
      </c>
      <c r="P35" s="568"/>
      <c r="Q35" s="571" t="s">
        <v>1324</v>
      </c>
      <c r="R35" s="568"/>
      <c r="S35" s="573" t="s">
        <v>1324</v>
      </c>
      <c r="T35" s="574"/>
      <c r="U35" s="574" t="s">
        <v>1324</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0</v>
      </c>
    </row>
    <row r="36" spans="3:69" ht="12.75" customHeight="1" x14ac:dyDescent="0.2">
      <c r="C36" s="566">
        <v>20</v>
      </c>
      <c r="D36" s="567"/>
      <c r="E36" s="567"/>
      <c r="F36" s="568"/>
      <c r="G36" s="569"/>
      <c r="H36" s="568"/>
      <c r="I36" s="570" t="str">
        <f t="shared" si="0"/>
        <v/>
      </c>
      <c r="J36" s="568"/>
      <c r="K36" s="571"/>
      <c r="L36" s="1054"/>
      <c r="M36" s="572" t="str">
        <f t="shared" si="1"/>
        <v/>
      </c>
      <c r="N36" s="568"/>
      <c r="O36" s="571" t="s">
        <v>1324</v>
      </c>
      <c r="P36" s="568"/>
      <c r="Q36" s="571" t="s">
        <v>1324</v>
      </c>
      <c r="R36" s="568"/>
      <c r="S36" s="573" t="s">
        <v>1324</v>
      </c>
      <c r="T36" s="574"/>
      <c r="U36" s="574" t="s">
        <v>1324</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0</v>
      </c>
    </row>
    <row r="37" spans="3:69" ht="12.75" customHeight="1" x14ac:dyDescent="0.2">
      <c r="C37" s="566">
        <v>21</v>
      </c>
      <c r="D37" s="567"/>
      <c r="E37" s="567"/>
      <c r="F37" s="568"/>
      <c r="G37" s="569"/>
      <c r="H37" s="568"/>
      <c r="I37" s="570" t="str">
        <f t="shared" si="0"/>
        <v/>
      </c>
      <c r="J37" s="568"/>
      <c r="K37" s="571"/>
      <c r="L37" s="1054"/>
      <c r="M37" s="572" t="str">
        <f t="shared" si="1"/>
        <v/>
      </c>
      <c r="N37" s="568"/>
      <c r="O37" s="571" t="s">
        <v>1324</v>
      </c>
      <c r="P37" s="568"/>
      <c r="Q37" s="571" t="s">
        <v>1324</v>
      </c>
      <c r="R37" s="568"/>
      <c r="S37" s="573" t="s">
        <v>1324</v>
      </c>
      <c r="T37" s="574"/>
      <c r="U37" s="574" t="s">
        <v>1324</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0</v>
      </c>
    </row>
    <row r="38" spans="3:69" ht="12.75" customHeight="1" x14ac:dyDescent="0.2">
      <c r="C38" s="566">
        <v>22</v>
      </c>
      <c r="D38" s="567"/>
      <c r="E38" s="567"/>
      <c r="F38" s="568"/>
      <c r="G38" s="569"/>
      <c r="H38" s="568"/>
      <c r="I38" s="570" t="str">
        <f t="shared" si="0"/>
        <v/>
      </c>
      <c r="J38" s="568"/>
      <c r="K38" s="571"/>
      <c r="L38" s="1054"/>
      <c r="M38" s="572" t="str">
        <f t="shared" si="1"/>
        <v/>
      </c>
      <c r="N38" s="568"/>
      <c r="O38" s="571" t="s">
        <v>1324</v>
      </c>
      <c r="P38" s="568"/>
      <c r="Q38" s="571" t="s">
        <v>1324</v>
      </c>
      <c r="R38" s="568"/>
      <c r="S38" s="573" t="s">
        <v>1324</v>
      </c>
      <c r="T38" s="574"/>
      <c r="U38" s="574" t="s">
        <v>1324</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0</v>
      </c>
    </row>
    <row r="39" spans="3:69" ht="12.75" customHeight="1" x14ac:dyDescent="0.2">
      <c r="C39" s="566">
        <v>23</v>
      </c>
      <c r="D39" s="567"/>
      <c r="E39" s="567"/>
      <c r="F39" s="568"/>
      <c r="G39" s="569"/>
      <c r="H39" s="568"/>
      <c r="I39" s="570" t="str">
        <f t="shared" si="0"/>
        <v/>
      </c>
      <c r="J39" s="568"/>
      <c r="K39" s="571"/>
      <c r="L39" s="1054"/>
      <c r="M39" s="572" t="str">
        <f t="shared" si="1"/>
        <v/>
      </c>
      <c r="N39" s="568"/>
      <c r="O39" s="571" t="s">
        <v>1324</v>
      </c>
      <c r="P39" s="568"/>
      <c r="Q39" s="571" t="s">
        <v>1324</v>
      </c>
      <c r="R39" s="568"/>
      <c r="S39" s="573" t="s">
        <v>1324</v>
      </c>
      <c r="T39" s="574"/>
      <c r="U39" s="574" t="s">
        <v>1324</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0</v>
      </c>
    </row>
    <row r="40" spans="3:69" ht="12.75" customHeight="1" x14ac:dyDescent="0.2">
      <c r="C40" s="566">
        <v>24</v>
      </c>
      <c r="D40" s="567"/>
      <c r="E40" s="567"/>
      <c r="F40" s="568"/>
      <c r="G40" s="569"/>
      <c r="H40" s="568"/>
      <c r="I40" s="570" t="str">
        <f t="shared" si="0"/>
        <v/>
      </c>
      <c r="J40" s="568"/>
      <c r="K40" s="571"/>
      <c r="L40" s="1054"/>
      <c r="M40" s="572" t="str">
        <f t="shared" si="1"/>
        <v/>
      </c>
      <c r="N40" s="568"/>
      <c r="O40" s="571" t="s">
        <v>1324</v>
      </c>
      <c r="P40" s="568"/>
      <c r="Q40" s="571" t="s">
        <v>1324</v>
      </c>
      <c r="R40" s="568"/>
      <c r="S40" s="573" t="s">
        <v>1324</v>
      </c>
      <c r="T40" s="574"/>
      <c r="U40" s="574" t="s">
        <v>1324</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0</v>
      </c>
    </row>
    <row r="41" spans="3:69" ht="12.75" customHeight="1" x14ac:dyDescent="0.2">
      <c r="C41" s="566">
        <v>25</v>
      </c>
      <c r="D41" s="567"/>
      <c r="E41" s="567"/>
      <c r="F41" s="568"/>
      <c r="G41" s="569"/>
      <c r="H41" s="568"/>
      <c r="I41" s="570" t="str">
        <f t="shared" si="0"/>
        <v/>
      </c>
      <c r="J41" s="568"/>
      <c r="K41" s="571"/>
      <c r="L41" s="1054"/>
      <c r="M41" s="572" t="str">
        <f t="shared" si="1"/>
        <v/>
      </c>
      <c r="N41" s="568"/>
      <c r="O41" s="571" t="s">
        <v>1324</v>
      </c>
      <c r="P41" s="568"/>
      <c r="Q41" s="571" t="s">
        <v>1324</v>
      </c>
      <c r="R41" s="568"/>
      <c r="S41" s="573" t="s">
        <v>1324</v>
      </c>
      <c r="T41" s="574"/>
      <c r="U41" s="574" t="s">
        <v>1324</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0</v>
      </c>
    </row>
    <row r="42" spans="3:69" ht="12.75" customHeight="1" x14ac:dyDescent="0.2">
      <c r="C42" s="566">
        <v>26</v>
      </c>
      <c r="D42" s="567"/>
      <c r="E42" s="567"/>
      <c r="F42" s="568"/>
      <c r="G42" s="569"/>
      <c r="H42" s="568"/>
      <c r="I42" s="570" t="str">
        <f t="shared" si="0"/>
        <v/>
      </c>
      <c r="J42" s="568"/>
      <c r="K42" s="571"/>
      <c r="L42" s="1054"/>
      <c r="M42" s="572" t="str">
        <f t="shared" si="1"/>
        <v/>
      </c>
      <c r="N42" s="568"/>
      <c r="O42" s="571" t="s">
        <v>1324</v>
      </c>
      <c r="P42" s="568"/>
      <c r="Q42" s="571" t="s">
        <v>1324</v>
      </c>
      <c r="R42" s="568"/>
      <c r="S42" s="573" t="s">
        <v>1324</v>
      </c>
      <c r="T42" s="574"/>
      <c r="U42" s="574" t="s">
        <v>1324</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0</v>
      </c>
    </row>
    <row r="43" spans="3:69" ht="12.75" customHeight="1" x14ac:dyDescent="0.2">
      <c r="C43" s="566">
        <v>27</v>
      </c>
      <c r="D43" s="567"/>
      <c r="E43" s="567"/>
      <c r="F43" s="568"/>
      <c r="G43" s="569"/>
      <c r="H43" s="568"/>
      <c r="I43" s="570" t="str">
        <f t="shared" si="0"/>
        <v/>
      </c>
      <c r="J43" s="568"/>
      <c r="K43" s="571"/>
      <c r="L43" s="1054"/>
      <c r="M43" s="572" t="str">
        <f t="shared" si="1"/>
        <v/>
      </c>
      <c r="N43" s="568"/>
      <c r="O43" s="571" t="s">
        <v>1324</v>
      </c>
      <c r="P43" s="568"/>
      <c r="Q43" s="571" t="s">
        <v>1324</v>
      </c>
      <c r="R43" s="568"/>
      <c r="S43" s="573" t="s">
        <v>1324</v>
      </c>
      <c r="T43" s="574"/>
      <c r="U43" s="574" t="s">
        <v>1324</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0</v>
      </c>
    </row>
    <row r="44" spans="3:69" ht="12.75" customHeight="1" x14ac:dyDescent="0.2">
      <c r="C44" s="566">
        <v>28</v>
      </c>
      <c r="D44" s="567"/>
      <c r="E44" s="567"/>
      <c r="F44" s="568"/>
      <c r="G44" s="569"/>
      <c r="H44" s="568"/>
      <c r="I44" s="570" t="str">
        <f t="shared" si="0"/>
        <v/>
      </c>
      <c r="J44" s="568"/>
      <c r="K44" s="571"/>
      <c r="L44" s="1054"/>
      <c r="M44" s="572" t="str">
        <f t="shared" si="1"/>
        <v/>
      </c>
      <c r="N44" s="568"/>
      <c r="O44" s="571" t="s">
        <v>1324</v>
      </c>
      <c r="P44" s="568"/>
      <c r="Q44" s="571" t="s">
        <v>1324</v>
      </c>
      <c r="R44" s="568"/>
      <c r="S44" s="573" t="s">
        <v>1324</v>
      </c>
      <c r="T44" s="574"/>
      <c r="U44" s="574" t="s">
        <v>1324</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0</v>
      </c>
    </row>
    <row r="45" spans="3:69" ht="12.75" customHeight="1" x14ac:dyDescent="0.2">
      <c r="C45" s="566">
        <v>29</v>
      </c>
      <c r="D45" s="567"/>
      <c r="E45" s="567"/>
      <c r="F45" s="568"/>
      <c r="G45" s="569"/>
      <c r="H45" s="568"/>
      <c r="I45" s="570" t="str">
        <f t="shared" si="0"/>
        <v/>
      </c>
      <c r="J45" s="568"/>
      <c r="K45" s="571"/>
      <c r="L45" s="1054"/>
      <c r="M45" s="572" t="str">
        <f t="shared" si="1"/>
        <v/>
      </c>
      <c r="N45" s="568"/>
      <c r="O45" s="571" t="s">
        <v>1324</v>
      </c>
      <c r="P45" s="568"/>
      <c r="Q45" s="571" t="s">
        <v>1324</v>
      </c>
      <c r="R45" s="568"/>
      <c r="S45" s="573" t="s">
        <v>1324</v>
      </c>
      <c r="T45" s="574"/>
      <c r="U45" s="574" t="s">
        <v>1324</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0</v>
      </c>
    </row>
    <row r="46" spans="3:69" ht="12.75" customHeight="1" x14ac:dyDescent="0.2">
      <c r="C46" s="566">
        <v>30</v>
      </c>
      <c r="D46" s="567"/>
      <c r="E46" s="567"/>
      <c r="F46" s="568"/>
      <c r="G46" s="569"/>
      <c r="H46" s="568"/>
      <c r="I46" s="570" t="str">
        <f t="shared" si="0"/>
        <v/>
      </c>
      <c r="J46" s="568"/>
      <c r="K46" s="571"/>
      <c r="L46" s="1054"/>
      <c r="M46" s="572" t="str">
        <f t="shared" si="1"/>
        <v/>
      </c>
      <c r="N46" s="568"/>
      <c r="O46" s="571" t="s">
        <v>1324</v>
      </c>
      <c r="P46" s="568"/>
      <c r="Q46" s="571" t="s">
        <v>1324</v>
      </c>
      <c r="R46" s="568"/>
      <c r="S46" s="573" t="s">
        <v>1324</v>
      </c>
      <c r="T46" s="574"/>
      <c r="U46" s="574" t="s">
        <v>1324</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0</v>
      </c>
    </row>
    <row r="47" spans="3:69" ht="12.75" customHeight="1" x14ac:dyDescent="0.2">
      <c r="C47" s="566">
        <v>31</v>
      </c>
      <c r="D47" s="567"/>
      <c r="E47" s="567"/>
      <c r="F47" s="568"/>
      <c r="G47" s="569"/>
      <c r="H47" s="568"/>
      <c r="I47" s="570" t="str">
        <f t="shared" si="0"/>
        <v/>
      </c>
      <c r="J47" s="568"/>
      <c r="K47" s="571"/>
      <c r="L47" s="1054"/>
      <c r="M47" s="572" t="str">
        <f t="shared" si="1"/>
        <v/>
      </c>
      <c r="N47" s="568"/>
      <c r="O47" s="571" t="s">
        <v>1324</v>
      </c>
      <c r="P47" s="568"/>
      <c r="Q47" s="571" t="s">
        <v>1324</v>
      </c>
      <c r="R47" s="568"/>
      <c r="S47" s="573" t="s">
        <v>1324</v>
      </c>
      <c r="T47" s="574"/>
      <c r="U47" s="574" t="s">
        <v>1324</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0</v>
      </c>
    </row>
    <row r="48" spans="3:69" ht="12.75" customHeight="1" x14ac:dyDescent="0.2">
      <c r="C48" s="566">
        <v>32</v>
      </c>
      <c r="D48" s="567"/>
      <c r="E48" s="567"/>
      <c r="F48" s="568"/>
      <c r="G48" s="569"/>
      <c r="H48" s="568"/>
      <c r="I48" s="570" t="str">
        <f t="shared" si="0"/>
        <v/>
      </c>
      <c r="J48" s="568"/>
      <c r="K48" s="571"/>
      <c r="L48" s="1054"/>
      <c r="M48" s="572" t="str">
        <f t="shared" si="1"/>
        <v/>
      </c>
      <c r="N48" s="568"/>
      <c r="O48" s="571" t="s">
        <v>1324</v>
      </c>
      <c r="P48" s="568"/>
      <c r="Q48" s="571" t="s">
        <v>1324</v>
      </c>
      <c r="R48" s="568"/>
      <c r="S48" s="573" t="s">
        <v>1324</v>
      </c>
      <c r="T48" s="574"/>
      <c r="U48" s="574" t="s">
        <v>1324</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0</v>
      </c>
    </row>
    <row r="49" spans="3:69" ht="12.75" customHeight="1" x14ac:dyDescent="0.2">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1324</v>
      </c>
      <c r="P49" s="568"/>
      <c r="Q49" s="571" t="s">
        <v>1324</v>
      </c>
      <c r="R49" s="568"/>
      <c r="S49" s="573" t="s">
        <v>1324</v>
      </c>
      <c r="T49" s="574"/>
      <c r="U49" s="574" t="s">
        <v>1324</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0</v>
      </c>
    </row>
    <row r="50" spans="3:69" ht="12.75" customHeight="1" x14ac:dyDescent="0.2">
      <c r="C50" s="566">
        <v>34</v>
      </c>
      <c r="D50" s="567"/>
      <c r="E50" s="567"/>
      <c r="F50" s="568"/>
      <c r="G50" s="569"/>
      <c r="H50" s="568"/>
      <c r="I50" s="570" t="str">
        <f t="shared" si="18"/>
        <v/>
      </c>
      <c r="J50" s="568"/>
      <c r="K50" s="571"/>
      <c r="L50" s="1054"/>
      <c r="M50" s="572" t="str">
        <f t="shared" si="19"/>
        <v/>
      </c>
      <c r="N50" s="568"/>
      <c r="O50" s="571" t="s">
        <v>1324</v>
      </c>
      <c r="P50" s="568"/>
      <c r="Q50" s="571" t="s">
        <v>1324</v>
      </c>
      <c r="R50" s="568"/>
      <c r="S50" s="573" t="s">
        <v>1324</v>
      </c>
      <c r="T50" s="574"/>
      <c r="U50" s="574" t="s">
        <v>1324</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0</v>
      </c>
    </row>
    <row r="51" spans="3:69" ht="12.75" customHeight="1" x14ac:dyDescent="0.2">
      <c r="C51" s="566">
        <v>35</v>
      </c>
      <c r="D51" s="567"/>
      <c r="E51" s="567"/>
      <c r="F51" s="568"/>
      <c r="G51" s="569"/>
      <c r="H51" s="568"/>
      <c r="I51" s="570" t="str">
        <f t="shared" si="18"/>
        <v/>
      </c>
      <c r="J51" s="568"/>
      <c r="K51" s="571"/>
      <c r="L51" s="1054"/>
      <c r="M51" s="572" t="str">
        <f t="shared" si="19"/>
        <v/>
      </c>
      <c r="N51" s="568"/>
      <c r="O51" s="571" t="s">
        <v>1324</v>
      </c>
      <c r="P51" s="568"/>
      <c r="Q51" s="571" t="s">
        <v>1324</v>
      </c>
      <c r="R51" s="568"/>
      <c r="S51" s="573" t="s">
        <v>1324</v>
      </c>
      <c r="T51" s="574"/>
      <c r="U51" s="574" t="s">
        <v>1324</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0</v>
      </c>
    </row>
    <row r="52" spans="3:69" ht="12.75" customHeight="1" x14ac:dyDescent="0.2">
      <c r="C52" s="566">
        <v>36</v>
      </c>
      <c r="D52" s="567"/>
      <c r="E52" s="567"/>
      <c r="F52" s="568"/>
      <c r="G52" s="569"/>
      <c r="H52" s="568"/>
      <c r="I52" s="570" t="str">
        <f t="shared" si="18"/>
        <v/>
      </c>
      <c r="J52" s="568"/>
      <c r="K52" s="571"/>
      <c r="L52" s="1054"/>
      <c r="M52" s="572" t="str">
        <f t="shared" si="19"/>
        <v/>
      </c>
      <c r="N52" s="568"/>
      <c r="O52" s="571" t="s">
        <v>1324</v>
      </c>
      <c r="P52" s="568"/>
      <c r="Q52" s="571" t="s">
        <v>1324</v>
      </c>
      <c r="R52" s="568"/>
      <c r="S52" s="573" t="s">
        <v>1324</v>
      </c>
      <c r="T52" s="574"/>
      <c r="U52" s="574" t="s">
        <v>1324</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0</v>
      </c>
    </row>
    <row r="53" spans="3:69" ht="12.75" customHeight="1" x14ac:dyDescent="0.2">
      <c r="C53" s="566">
        <v>37</v>
      </c>
      <c r="D53" s="567"/>
      <c r="E53" s="567"/>
      <c r="F53" s="568"/>
      <c r="G53" s="569"/>
      <c r="H53" s="568"/>
      <c r="I53" s="570" t="str">
        <f t="shared" si="18"/>
        <v/>
      </c>
      <c r="J53" s="568"/>
      <c r="K53" s="571"/>
      <c r="L53" s="1054"/>
      <c r="M53" s="572" t="str">
        <f t="shared" si="19"/>
        <v/>
      </c>
      <c r="N53" s="568"/>
      <c r="O53" s="571" t="s">
        <v>1324</v>
      </c>
      <c r="P53" s="568"/>
      <c r="Q53" s="571" t="s">
        <v>1324</v>
      </c>
      <c r="R53" s="568"/>
      <c r="S53" s="573" t="s">
        <v>1324</v>
      </c>
      <c r="T53" s="574"/>
      <c r="U53" s="574" t="s">
        <v>1324</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0</v>
      </c>
    </row>
    <row r="54" spans="3:69" ht="12.75" customHeight="1" x14ac:dyDescent="0.2">
      <c r="C54" s="566">
        <v>38</v>
      </c>
      <c r="D54" s="567"/>
      <c r="E54" s="567"/>
      <c r="F54" s="568"/>
      <c r="G54" s="569"/>
      <c r="H54" s="568"/>
      <c r="I54" s="570" t="str">
        <f t="shared" si="18"/>
        <v/>
      </c>
      <c r="J54" s="568"/>
      <c r="K54" s="571"/>
      <c r="L54" s="1054"/>
      <c r="M54" s="572" t="str">
        <f t="shared" si="19"/>
        <v/>
      </c>
      <c r="N54" s="568"/>
      <c r="O54" s="571" t="s">
        <v>1324</v>
      </c>
      <c r="P54" s="568"/>
      <c r="Q54" s="571" t="s">
        <v>1324</v>
      </c>
      <c r="R54" s="568"/>
      <c r="S54" s="573" t="s">
        <v>1324</v>
      </c>
      <c r="T54" s="574"/>
      <c r="U54" s="574" t="s">
        <v>1324</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0</v>
      </c>
    </row>
    <row r="55" spans="3:69" ht="12.75" customHeight="1" x14ac:dyDescent="0.2">
      <c r="C55" s="566">
        <v>39</v>
      </c>
      <c r="D55" s="567"/>
      <c r="E55" s="567"/>
      <c r="F55" s="568"/>
      <c r="G55" s="569"/>
      <c r="H55" s="568"/>
      <c r="I55" s="570" t="str">
        <f t="shared" si="18"/>
        <v/>
      </c>
      <c r="J55" s="568"/>
      <c r="K55" s="571"/>
      <c r="L55" s="1054"/>
      <c r="M55" s="572" t="str">
        <f t="shared" si="19"/>
        <v/>
      </c>
      <c r="N55" s="568"/>
      <c r="O55" s="571" t="s">
        <v>1324</v>
      </c>
      <c r="P55" s="568"/>
      <c r="Q55" s="571" t="s">
        <v>1324</v>
      </c>
      <c r="R55" s="568"/>
      <c r="S55" s="573" t="s">
        <v>1324</v>
      </c>
      <c r="T55" s="574"/>
      <c r="U55" s="574" t="s">
        <v>1324</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0</v>
      </c>
    </row>
    <row r="56" spans="3:69" ht="12.75" customHeight="1" x14ac:dyDescent="0.2">
      <c r="C56" s="566">
        <v>40</v>
      </c>
      <c r="D56" s="567"/>
      <c r="E56" s="567"/>
      <c r="F56" s="568"/>
      <c r="G56" s="569"/>
      <c r="H56" s="568"/>
      <c r="I56" s="570" t="str">
        <f t="shared" si="18"/>
        <v/>
      </c>
      <c r="J56" s="568"/>
      <c r="K56" s="571"/>
      <c r="L56" s="1054"/>
      <c r="M56" s="572" t="str">
        <f t="shared" si="19"/>
        <v/>
      </c>
      <c r="N56" s="568"/>
      <c r="O56" s="571" t="s">
        <v>1324</v>
      </c>
      <c r="P56" s="568"/>
      <c r="Q56" s="571" t="s">
        <v>1324</v>
      </c>
      <c r="R56" s="568"/>
      <c r="S56" s="573" t="s">
        <v>1324</v>
      </c>
      <c r="T56" s="574"/>
      <c r="U56" s="574" t="s">
        <v>1324</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0</v>
      </c>
    </row>
    <row r="57" spans="3:69" ht="12.75" customHeight="1" x14ac:dyDescent="0.2">
      <c r="C57" s="566">
        <v>41</v>
      </c>
      <c r="D57" s="567"/>
      <c r="E57" s="567"/>
      <c r="F57" s="568"/>
      <c r="G57" s="569"/>
      <c r="H57" s="568"/>
      <c r="I57" s="570" t="str">
        <f t="shared" si="18"/>
        <v/>
      </c>
      <c r="J57" s="568"/>
      <c r="K57" s="571"/>
      <c r="L57" s="1054"/>
      <c r="M57" s="572" t="str">
        <f t="shared" si="19"/>
        <v/>
      </c>
      <c r="N57" s="568"/>
      <c r="O57" s="571" t="s">
        <v>1324</v>
      </c>
      <c r="P57" s="568"/>
      <c r="Q57" s="571" t="s">
        <v>1324</v>
      </c>
      <c r="R57" s="568"/>
      <c r="S57" s="573" t="s">
        <v>1324</v>
      </c>
      <c r="T57" s="574"/>
      <c r="U57" s="574" t="s">
        <v>1324</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0</v>
      </c>
    </row>
    <row r="58" spans="3:69" ht="12.75" customHeight="1" x14ac:dyDescent="0.2">
      <c r="C58" s="566">
        <v>42</v>
      </c>
      <c r="D58" s="567"/>
      <c r="E58" s="567"/>
      <c r="F58" s="568"/>
      <c r="G58" s="569"/>
      <c r="H58" s="568"/>
      <c r="I58" s="570" t="str">
        <f t="shared" si="18"/>
        <v/>
      </c>
      <c r="J58" s="568"/>
      <c r="K58" s="571"/>
      <c r="L58" s="1054"/>
      <c r="M58" s="572" t="str">
        <f t="shared" si="19"/>
        <v/>
      </c>
      <c r="N58" s="568"/>
      <c r="O58" s="571" t="s">
        <v>1324</v>
      </c>
      <c r="P58" s="568"/>
      <c r="Q58" s="571" t="s">
        <v>1324</v>
      </c>
      <c r="R58" s="568"/>
      <c r="S58" s="573" t="s">
        <v>1324</v>
      </c>
      <c r="T58" s="574"/>
      <c r="U58" s="574" t="s">
        <v>1324</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0</v>
      </c>
    </row>
    <row r="59" spans="3:69" ht="12.75" customHeight="1" x14ac:dyDescent="0.2">
      <c r="C59" s="566">
        <v>43</v>
      </c>
      <c r="D59" s="567"/>
      <c r="E59" s="567"/>
      <c r="F59" s="568"/>
      <c r="G59" s="569"/>
      <c r="H59" s="568"/>
      <c r="I59" s="570" t="str">
        <f t="shared" si="18"/>
        <v/>
      </c>
      <c r="J59" s="568"/>
      <c r="K59" s="571"/>
      <c r="L59" s="1054"/>
      <c r="M59" s="572" t="str">
        <f t="shared" si="19"/>
        <v/>
      </c>
      <c r="N59" s="568"/>
      <c r="O59" s="571" t="s">
        <v>1324</v>
      </c>
      <c r="P59" s="568"/>
      <c r="Q59" s="571" t="s">
        <v>1324</v>
      </c>
      <c r="R59" s="568"/>
      <c r="S59" s="573" t="s">
        <v>1324</v>
      </c>
      <c r="T59" s="574"/>
      <c r="U59" s="574" t="s">
        <v>1324</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0</v>
      </c>
    </row>
    <row r="60" spans="3:69" ht="12.75" customHeight="1" x14ac:dyDescent="0.2">
      <c r="C60" s="566">
        <v>44</v>
      </c>
      <c r="D60" s="567"/>
      <c r="E60" s="567"/>
      <c r="F60" s="568"/>
      <c r="G60" s="569"/>
      <c r="H60" s="568"/>
      <c r="I60" s="570" t="str">
        <f t="shared" si="18"/>
        <v/>
      </c>
      <c r="J60" s="568"/>
      <c r="K60" s="571"/>
      <c r="L60" s="1054"/>
      <c r="M60" s="572" t="str">
        <f t="shared" si="19"/>
        <v/>
      </c>
      <c r="N60" s="568"/>
      <c r="O60" s="571" t="s">
        <v>1324</v>
      </c>
      <c r="P60" s="568"/>
      <c r="Q60" s="571" t="s">
        <v>1324</v>
      </c>
      <c r="R60" s="568"/>
      <c r="S60" s="573" t="s">
        <v>1324</v>
      </c>
      <c r="T60" s="574"/>
      <c r="U60" s="574" t="s">
        <v>1324</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0</v>
      </c>
    </row>
    <row r="61" spans="3:69" ht="12.75" customHeight="1" x14ac:dyDescent="0.2">
      <c r="C61" s="566">
        <v>45</v>
      </c>
      <c r="D61" s="567"/>
      <c r="E61" s="567"/>
      <c r="F61" s="568"/>
      <c r="G61" s="569"/>
      <c r="H61" s="568"/>
      <c r="I61" s="570" t="str">
        <f t="shared" si="18"/>
        <v/>
      </c>
      <c r="J61" s="568"/>
      <c r="K61" s="571"/>
      <c r="L61" s="1054"/>
      <c r="M61" s="572" t="str">
        <f t="shared" si="19"/>
        <v/>
      </c>
      <c r="N61" s="568"/>
      <c r="O61" s="571" t="s">
        <v>1324</v>
      </c>
      <c r="P61" s="568"/>
      <c r="Q61" s="571" t="s">
        <v>1324</v>
      </c>
      <c r="R61" s="568"/>
      <c r="S61" s="573" t="s">
        <v>1324</v>
      </c>
      <c r="T61" s="574"/>
      <c r="U61" s="574" t="s">
        <v>1324</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0</v>
      </c>
    </row>
    <row r="62" spans="3:69" ht="12.75" customHeight="1" x14ac:dyDescent="0.2">
      <c r="C62" s="566">
        <v>46</v>
      </c>
      <c r="D62" s="567"/>
      <c r="E62" s="567"/>
      <c r="F62" s="568"/>
      <c r="G62" s="569"/>
      <c r="H62" s="568"/>
      <c r="I62" s="570" t="str">
        <f t="shared" si="18"/>
        <v/>
      </c>
      <c r="J62" s="568"/>
      <c r="K62" s="571"/>
      <c r="L62" s="1054"/>
      <c r="M62" s="572" t="str">
        <f t="shared" si="19"/>
        <v/>
      </c>
      <c r="N62" s="568"/>
      <c r="O62" s="571" t="s">
        <v>1324</v>
      </c>
      <c r="P62" s="568"/>
      <c r="Q62" s="571" t="s">
        <v>1324</v>
      </c>
      <c r="R62" s="568"/>
      <c r="S62" s="573" t="s">
        <v>1324</v>
      </c>
      <c r="T62" s="574"/>
      <c r="U62" s="574" t="s">
        <v>1324</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0</v>
      </c>
    </row>
    <row r="63" spans="3:69" ht="12.75" customHeight="1" x14ac:dyDescent="0.2">
      <c r="C63" s="566">
        <v>47</v>
      </c>
      <c r="D63" s="567"/>
      <c r="E63" s="567"/>
      <c r="F63" s="568"/>
      <c r="G63" s="569"/>
      <c r="H63" s="568"/>
      <c r="I63" s="570" t="str">
        <f t="shared" si="18"/>
        <v/>
      </c>
      <c r="J63" s="568"/>
      <c r="K63" s="571"/>
      <c r="L63" s="1054"/>
      <c r="M63" s="572" t="str">
        <f t="shared" si="19"/>
        <v/>
      </c>
      <c r="N63" s="568"/>
      <c r="O63" s="571" t="s">
        <v>1324</v>
      </c>
      <c r="P63" s="568"/>
      <c r="Q63" s="571" t="s">
        <v>1324</v>
      </c>
      <c r="R63" s="568"/>
      <c r="S63" s="573" t="s">
        <v>1324</v>
      </c>
      <c r="T63" s="574"/>
      <c r="U63" s="574" t="s">
        <v>1324</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0</v>
      </c>
    </row>
    <row r="64" spans="3:69" ht="12.75" customHeight="1" x14ac:dyDescent="0.2">
      <c r="C64" s="566">
        <v>48</v>
      </c>
      <c r="D64" s="567"/>
      <c r="E64" s="567"/>
      <c r="F64" s="568"/>
      <c r="G64" s="569"/>
      <c r="H64" s="568"/>
      <c r="I64" s="570" t="str">
        <f t="shared" si="18"/>
        <v/>
      </c>
      <c r="J64" s="568"/>
      <c r="K64" s="571"/>
      <c r="L64" s="1054"/>
      <c r="M64" s="572" t="str">
        <f t="shared" si="19"/>
        <v/>
      </c>
      <c r="N64" s="568"/>
      <c r="O64" s="571" t="s">
        <v>1324</v>
      </c>
      <c r="P64" s="568"/>
      <c r="Q64" s="571" t="s">
        <v>1324</v>
      </c>
      <c r="R64" s="568"/>
      <c r="S64" s="573" t="s">
        <v>1324</v>
      </c>
      <c r="T64" s="574"/>
      <c r="U64" s="574" t="s">
        <v>1324</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0</v>
      </c>
    </row>
    <row r="65" spans="3:69" ht="12.75" customHeight="1" x14ac:dyDescent="0.2">
      <c r="C65" s="566">
        <v>49</v>
      </c>
      <c r="D65" s="567"/>
      <c r="E65" s="567"/>
      <c r="F65" s="568"/>
      <c r="G65" s="569"/>
      <c r="H65" s="568"/>
      <c r="I65" s="570" t="str">
        <f t="shared" si="18"/>
        <v/>
      </c>
      <c r="J65" s="568"/>
      <c r="K65" s="571"/>
      <c r="L65" s="1054"/>
      <c r="M65" s="572" t="str">
        <f t="shared" si="19"/>
        <v/>
      </c>
      <c r="N65" s="568"/>
      <c r="O65" s="571" t="s">
        <v>1324</v>
      </c>
      <c r="P65" s="568"/>
      <c r="Q65" s="571" t="s">
        <v>1324</v>
      </c>
      <c r="R65" s="568"/>
      <c r="S65" s="573" t="s">
        <v>1324</v>
      </c>
      <c r="T65" s="574"/>
      <c r="U65" s="574" t="s">
        <v>1324</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0</v>
      </c>
    </row>
    <row r="66" spans="3:69" ht="12.75" customHeight="1" x14ac:dyDescent="0.2">
      <c r="C66" s="566">
        <v>50</v>
      </c>
      <c r="D66" s="567"/>
      <c r="E66" s="567"/>
      <c r="F66" s="568"/>
      <c r="G66" s="569"/>
      <c r="H66" s="568"/>
      <c r="I66" s="570" t="str">
        <f t="shared" si="18"/>
        <v/>
      </c>
      <c r="J66" s="568"/>
      <c r="K66" s="571"/>
      <c r="L66" s="1054"/>
      <c r="M66" s="572" t="str">
        <f t="shared" si="19"/>
        <v/>
      </c>
      <c r="N66" s="568"/>
      <c r="O66" s="571" t="s">
        <v>1324</v>
      </c>
      <c r="P66" s="568"/>
      <c r="Q66" s="571" t="s">
        <v>1324</v>
      </c>
      <c r="R66" s="568"/>
      <c r="S66" s="573" t="s">
        <v>1324</v>
      </c>
      <c r="T66" s="574"/>
      <c r="U66" s="574" t="s">
        <v>1324</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0</v>
      </c>
    </row>
    <row r="67" spans="3:69" ht="12.75" customHeight="1" x14ac:dyDescent="0.2">
      <c r="C67" s="566">
        <v>51</v>
      </c>
      <c r="D67" s="567"/>
      <c r="E67" s="567"/>
      <c r="F67" s="568"/>
      <c r="G67" s="569"/>
      <c r="H67" s="568"/>
      <c r="I67" s="570" t="str">
        <f t="shared" si="18"/>
        <v/>
      </c>
      <c r="J67" s="568"/>
      <c r="K67" s="571"/>
      <c r="L67" s="1054"/>
      <c r="M67" s="572" t="str">
        <f t="shared" si="19"/>
        <v/>
      </c>
      <c r="N67" s="568"/>
      <c r="O67" s="571" t="s">
        <v>1324</v>
      </c>
      <c r="P67" s="568"/>
      <c r="Q67" s="571" t="s">
        <v>1324</v>
      </c>
      <c r="R67" s="568"/>
      <c r="S67" s="573" t="s">
        <v>1324</v>
      </c>
      <c r="T67" s="574"/>
      <c r="U67" s="574" t="s">
        <v>1324</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0</v>
      </c>
    </row>
    <row r="68" spans="3:69" ht="12.75" customHeight="1" x14ac:dyDescent="0.2">
      <c r="C68" s="566">
        <v>52</v>
      </c>
      <c r="D68" s="567"/>
      <c r="E68" s="567"/>
      <c r="F68" s="568"/>
      <c r="G68" s="569"/>
      <c r="H68" s="568"/>
      <c r="I68" s="570" t="str">
        <f t="shared" si="18"/>
        <v/>
      </c>
      <c r="J68" s="568"/>
      <c r="K68" s="571"/>
      <c r="L68" s="1054"/>
      <c r="M68" s="572" t="str">
        <f t="shared" si="19"/>
        <v/>
      </c>
      <c r="N68" s="568"/>
      <c r="O68" s="571" t="s">
        <v>1324</v>
      </c>
      <c r="P68" s="568"/>
      <c r="Q68" s="571" t="s">
        <v>1324</v>
      </c>
      <c r="R68" s="568"/>
      <c r="S68" s="573" t="s">
        <v>1324</v>
      </c>
      <c r="T68" s="574"/>
      <c r="U68" s="574" t="s">
        <v>1324</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0</v>
      </c>
    </row>
    <row r="69" spans="3:69" ht="12.75" customHeight="1" x14ac:dyDescent="0.2">
      <c r="C69" s="566">
        <v>53</v>
      </c>
      <c r="D69" s="567"/>
      <c r="E69" s="567"/>
      <c r="F69" s="568"/>
      <c r="G69" s="569"/>
      <c r="H69" s="568"/>
      <c r="I69" s="570" t="str">
        <f t="shared" si="18"/>
        <v/>
      </c>
      <c r="J69" s="568"/>
      <c r="K69" s="571"/>
      <c r="L69" s="1054"/>
      <c r="M69" s="572" t="str">
        <f t="shared" si="19"/>
        <v/>
      </c>
      <c r="N69" s="568"/>
      <c r="O69" s="571" t="s">
        <v>1324</v>
      </c>
      <c r="P69" s="568"/>
      <c r="Q69" s="571" t="s">
        <v>1324</v>
      </c>
      <c r="R69" s="568"/>
      <c r="S69" s="573" t="s">
        <v>1324</v>
      </c>
      <c r="T69" s="574"/>
      <c r="U69" s="574" t="s">
        <v>1324</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0</v>
      </c>
    </row>
    <row r="70" spans="3:69" ht="12.75" customHeight="1" x14ac:dyDescent="0.2">
      <c r="C70" s="566">
        <v>54</v>
      </c>
      <c r="D70" s="567"/>
      <c r="E70" s="567"/>
      <c r="F70" s="568"/>
      <c r="G70" s="569"/>
      <c r="H70" s="568"/>
      <c r="I70" s="570" t="str">
        <f t="shared" si="18"/>
        <v/>
      </c>
      <c r="J70" s="568"/>
      <c r="K70" s="571"/>
      <c r="L70" s="1054"/>
      <c r="M70" s="572" t="str">
        <f t="shared" si="19"/>
        <v/>
      </c>
      <c r="N70" s="568"/>
      <c r="O70" s="571" t="s">
        <v>1324</v>
      </c>
      <c r="P70" s="568"/>
      <c r="Q70" s="571" t="s">
        <v>1324</v>
      </c>
      <c r="R70" s="568"/>
      <c r="S70" s="573" t="s">
        <v>1324</v>
      </c>
      <c r="T70" s="574"/>
      <c r="U70" s="574" t="s">
        <v>1324</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0</v>
      </c>
    </row>
    <row r="71" spans="3:69" ht="12.75" customHeight="1" x14ac:dyDescent="0.2">
      <c r="C71" s="566">
        <v>55</v>
      </c>
      <c r="D71" s="567"/>
      <c r="E71" s="567"/>
      <c r="F71" s="568"/>
      <c r="G71" s="569"/>
      <c r="H71" s="568"/>
      <c r="I71" s="570" t="str">
        <f t="shared" si="18"/>
        <v/>
      </c>
      <c r="J71" s="568"/>
      <c r="K71" s="571"/>
      <c r="L71" s="1054"/>
      <c r="M71" s="572" t="str">
        <f t="shared" si="19"/>
        <v/>
      </c>
      <c r="N71" s="568"/>
      <c r="O71" s="571" t="s">
        <v>1324</v>
      </c>
      <c r="P71" s="568"/>
      <c r="Q71" s="571" t="s">
        <v>1324</v>
      </c>
      <c r="R71" s="568"/>
      <c r="S71" s="573" t="s">
        <v>1324</v>
      </c>
      <c r="T71" s="574"/>
      <c r="U71" s="574" t="s">
        <v>1324</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0</v>
      </c>
    </row>
    <row r="72" spans="3:69" ht="12.75" customHeight="1" x14ac:dyDescent="0.2">
      <c r="C72" s="566">
        <v>56</v>
      </c>
      <c r="D72" s="567"/>
      <c r="E72" s="567"/>
      <c r="F72" s="568"/>
      <c r="G72" s="569"/>
      <c r="H72" s="568"/>
      <c r="I72" s="570" t="str">
        <f t="shared" si="18"/>
        <v/>
      </c>
      <c r="J72" s="568"/>
      <c r="K72" s="571"/>
      <c r="L72" s="1054"/>
      <c r="M72" s="572" t="str">
        <f t="shared" si="19"/>
        <v/>
      </c>
      <c r="N72" s="568"/>
      <c r="O72" s="571" t="s">
        <v>1324</v>
      </c>
      <c r="P72" s="568"/>
      <c r="Q72" s="571" t="s">
        <v>1324</v>
      </c>
      <c r="R72" s="568"/>
      <c r="S72" s="573" t="s">
        <v>1324</v>
      </c>
      <c r="T72" s="574"/>
      <c r="U72" s="574" t="s">
        <v>1324</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0</v>
      </c>
    </row>
    <row r="73" spans="3:69" ht="12.75" customHeight="1" x14ac:dyDescent="0.2">
      <c r="C73" s="566">
        <v>57</v>
      </c>
      <c r="D73" s="567"/>
      <c r="E73" s="567"/>
      <c r="F73" s="568"/>
      <c r="G73" s="569"/>
      <c r="H73" s="568"/>
      <c r="I73" s="570" t="str">
        <f t="shared" si="18"/>
        <v/>
      </c>
      <c r="J73" s="568"/>
      <c r="K73" s="571"/>
      <c r="L73" s="1054"/>
      <c r="M73" s="572" t="str">
        <f t="shared" si="19"/>
        <v/>
      </c>
      <c r="N73" s="568"/>
      <c r="O73" s="571" t="s">
        <v>1324</v>
      </c>
      <c r="P73" s="568"/>
      <c r="Q73" s="571" t="s">
        <v>1324</v>
      </c>
      <c r="R73" s="568"/>
      <c r="S73" s="573" t="s">
        <v>1324</v>
      </c>
      <c r="T73" s="574"/>
      <c r="U73" s="574" t="s">
        <v>1324</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0</v>
      </c>
    </row>
    <row r="74" spans="3:69" ht="12.75" customHeight="1" x14ac:dyDescent="0.2">
      <c r="C74" s="566">
        <v>58</v>
      </c>
      <c r="D74" s="567"/>
      <c r="E74" s="567"/>
      <c r="F74" s="568"/>
      <c r="G74" s="569"/>
      <c r="H74" s="568"/>
      <c r="I74" s="570" t="str">
        <f t="shared" si="18"/>
        <v/>
      </c>
      <c r="J74" s="568"/>
      <c r="K74" s="571"/>
      <c r="L74" s="1054"/>
      <c r="M74" s="572" t="str">
        <f t="shared" si="19"/>
        <v/>
      </c>
      <c r="N74" s="568"/>
      <c r="O74" s="571" t="s">
        <v>1324</v>
      </c>
      <c r="P74" s="568"/>
      <c r="Q74" s="571" t="s">
        <v>1324</v>
      </c>
      <c r="R74" s="568"/>
      <c r="S74" s="573" t="s">
        <v>1324</v>
      </c>
      <c r="T74" s="574"/>
      <c r="U74" s="574" t="s">
        <v>1324</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0</v>
      </c>
    </row>
    <row r="75" spans="3:69" ht="12.75" customHeight="1" x14ac:dyDescent="0.2">
      <c r="C75" s="566">
        <v>59</v>
      </c>
      <c r="D75" s="567"/>
      <c r="E75" s="567"/>
      <c r="F75" s="568"/>
      <c r="G75" s="569"/>
      <c r="H75" s="568"/>
      <c r="I75" s="570" t="str">
        <f t="shared" si="18"/>
        <v/>
      </c>
      <c r="J75" s="568"/>
      <c r="K75" s="571"/>
      <c r="L75" s="1054"/>
      <c r="M75" s="572" t="str">
        <f t="shared" si="19"/>
        <v/>
      </c>
      <c r="N75" s="568"/>
      <c r="O75" s="571" t="s">
        <v>1324</v>
      </c>
      <c r="P75" s="568"/>
      <c r="Q75" s="571" t="s">
        <v>1324</v>
      </c>
      <c r="R75" s="568"/>
      <c r="S75" s="573" t="s">
        <v>1324</v>
      </c>
      <c r="T75" s="574"/>
      <c r="U75" s="574" t="s">
        <v>1324</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0</v>
      </c>
    </row>
    <row r="76" spans="3:69" ht="12.75" customHeight="1" x14ac:dyDescent="0.2">
      <c r="C76" s="566">
        <v>60</v>
      </c>
      <c r="D76" s="567"/>
      <c r="E76" s="567"/>
      <c r="F76" s="568"/>
      <c r="G76" s="569"/>
      <c r="H76" s="568"/>
      <c r="I76" s="570" t="str">
        <f t="shared" si="18"/>
        <v/>
      </c>
      <c r="J76" s="568"/>
      <c r="K76" s="571"/>
      <c r="L76" s="1054"/>
      <c r="M76" s="572" t="str">
        <f t="shared" si="19"/>
        <v/>
      </c>
      <c r="N76" s="568"/>
      <c r="O76" s="571" t="s">
        <v>1324</v>
      </c>
      <c r="P76" s="568"/>
      <c r="Q76" s="571" t="s">
        <v>1324</v>
      </c>
      <c r="R76" s="568"/>
      <c r="S76" s="573" t="s">
        <v>1324</v>
      </c>
      <c r="T76" s="574"/>
      <c r="U76" s="574" t="s">
        <v>1324</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0</v>
      </c>
    </row>
    <row r="77" spans="3:69" ht="12.75" customHeight="1" x14ac:dyDescent="0.2">
      <c r="C77" s="566">
        <v>61</v>
      </c>
      <c r="D77" s="567"/>
      <c r="E77" s="567"/>
      <c r="F77" s="568"/>
      <c r="G77" s="569"/>
      <c r="H77" s="568"/>
      <c r="I77" s="570" t="str">
        <f t="shared" si="18"/>
        <v/>
      </c>
      <c r="J77" s="568"/>
      <c r="K77" s="571"/>
      <c r="L77" s="1054"/>
      <c r="M77" s="572" t="str">
        <f t="shared" si="19"/>
        <v/>
      </c>
      <c r="N77" s="568"/>
      <c r="O77" s="571" t="s">
        <v>1324</v>
      </c>
      <c r="P77" s="568"/>
      <c r="Q77" s="571" t="s">
        <v>1324</v>
      </c>
      <c r="R77" s="568"/>
      <c r="S77" s="573" t="s">
        <v>1324</v>
      </c>
      <c r="T77" s="574"/>
      <c r="U77" s="574" t="s">
        <v>1324</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0</v>
      </c>
    </row>
    <row r="78" spans="3:69" ht="12.75" customHeight="1" x14ac:dyDescent="0.2">
      <c r="C78" s="566">
        <v>62</v>
      </c>
      <c r="D78" s="567"/>
      <c r="E78" s="567"/>
      <c r="F78" s="568"/>
      <c r="G78" s="569"/>
      <c r="H78" s="568"/>
      <c r="I78" s="570" t="str">
        <f t="shared" si="18"/>
        <v/>
      </c>
      <c r="J78" s="568"/>
      <c r="K78" s="571"/>
      <c r="L78" s="1054"/>
      <c r="M78" s="572" t="str">
        <f t="shared" si="19"/>
        <v/>
      </c>
      <c r="N78" s="568"/>
      <c r="O78" s="571" t="s">
        <v>1324</v>
      </c>
      <c r="P78" s="568"/>
      <c r="Q78" s="571" t="s">
        <v>1324</v>
      </c>
      <c r="R78" s="568"/>
      <c r="S78" s="573" t="s">
        <v>1324</v>
      </c>
      <c r="T78" s="574"/>
      <c r="U78" s="574" t="s">
        <v>1324</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0</v>
      </c>
    </row>
    <row r="79" spans="3:69" ht="12.75" customHeight="1" x14ac:dyDescent="0.2">
      <c r="C79" s="566">
        <v>63</v>
      </c>
      <c r="D79" s="567"/>
      <c r="E79" s="567"/>
      <c r="F79" s="568"/>
      <c r="G79" s="569"/>
      <c r="H79" s="568"/>
      <c r="I79" s="570" t="str">
        <f t="shared" si="18"/>
        <v/>
      </c>
      <c r="J79" s="568"/>
      <c r="K79" s="571"/>
      <c r="L79" s="1054"/>
      <c r="M79" s="572" t="str">
        <f t="shared" si="19"/>
        <v/>
      </c>
      <c r="N79" s="568"/>
      <c r="O79" s="571" t="s">
        <v>1324</v>
      </c>
      <c r="P79" s="568"/>
      <c r="Q79" s="571" t="s">
        <v>1324</v>
      </c>
      <c r="R79" s="568"/>
      <c r="S79" s="573" t="s">
        <v>1324</v>
      </c>
      <c r="T79" s="574"/>
      <c r="U79" s="574" t="s">
        <v>1324</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0</v>
      </c>
    </row>
    <row r="80" spans="3:69" ht="12.75" customHeight="1" x14ac:dyDescent="0.2">
      <c r="C80" s="566">
        <v>64</v>
      </c>
      <c r="D80" s="567"/>
      <c r="E80" s="567"/>
      <c r="F80" s="568"/>
      <c r="G80" s="569"/>
      <c r="H80" s="568"/>
      <c r="I80" s="570" t="str">
        <f t="shared" si="18"/>
        <v/>
      </c>
      <c r="J80" s="568"/>
      <c r="K80" s="571"/>
      <c r="L80" s="1054"/>
      <c r="M80" s="572" t="str">
        <f t="shared" si="19"/>
        <v/>
      </c>
      <c r="N80" s="568"/>
      <c r="O80" s="571" t="s">
        <v>1324</v>
      </c>
      <c r="P80" s="568"/>
      <c r="Q80" s="571" t="s">
        <v>1324</v>
      </c>
      <c r="R80" s="568"/>
      <c r="S80" s="573" t="s">
        <v>1324</v>
      </c>
      <c r="T80" s="574"/>
      <c r="U80" s="574" t="s">
        <v>1324</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0</v>
      </c>
    </row>
    <row r="81" spans="1:69" ht="12.75" customHeight="1" x14ac:dyDescent="0.2">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1324</v>
      </c>
      <c r="P81" s="568"/>
      <c r="Q81" s="571" t="s">
        <v>1324</v>
      </c>
      <c r="R81" s="568"/>
      <c r="S81" s="573" t="s">
        <v>1324</v>
      </c>
      <c r="T81" s="574"/>
      <c r="U81" s="574" t="s">
        <v>1324</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0</v>
      </c>
    </row>
    <row r="82" spans="1:69" ht="12.75" customHeight="1" x14ac:dyDescent="0.2">
      <c r="C82" s="566">
        <v>66</v>
      </c>
      <c r="D82" s="567"/>
      <c r="E82" s="567"/>
      <c r="F82" s="568"/>
      <c r="G82" s="569"/>
      <c r="H82" s="568"/>
      <c r="I82" s="570" t="str">
        <f t="shared" si="34"/>
        <v/>
      </c>
      <c r="J82" s="568"/>
      <c r="K82" s="571"/>
      <c r="L82" s="1054"/>
      <c r="M82" s="572" t="str">
        <f t="shared" si="35"/>
        <v/>
      </c>
      <c r="N82" s="568"/>
      <c r="O82" s="571" t="s">
        <v>1324</v>
      </c>
      <c r="P82" s="568"/>
      <c r="Q82" s="571" t="s">
        <v>1324</v>
      </c>
      <c r="R82" s="568"/>
      <c r="S82" s="573" t="s">
        <v>1324</v>
      </c>
      <c r="T82" s="574"/>
      <c r="U82" s="574" t="s">
        <v>1324</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0</v>
      </c>
    </row>
    <row r="83" spans="1:69" ht="12.75" customHeight="1" x14ac:dyDescent="0.2">
      <c r="C83" s="566">
        <v>67</v>
      </c>
      <c r="D83" s="567"/>
      <c r="E83" s="567"/>
      <c r="F83" s="568"/>
      <c r="G83" s="569"/>
      <c r="H83" s="568"/>
      <c r="I83" s="570" t="str">
        <f t="shared" si="34"/>
        <v/>
      </c>
      <c r="J83" s="568"/>
      <c r="K83" s="571"/>
      <c r="L83" s="1054"/>
      <c r="M83" s="572" t="str">
        <f t="shared" si="35"/>
        <v/>
      </c>
      <c r="N83" s="568"/>
      <c r="O83" s="571" t="s">
        <v>1324</v>
      </c>
      <c r="P83" s="568"/>
      <c r="Q83" s="571" t="s">
        <v>1324</v>
      </c>
      <c r="R83" s="568"/>
      <c r="S83" s="573" t="s">
        <v>1324</v>
      </c>
      <c r="T83" s="574"/>
      <c r="U83" s="574" t="s">
        <v>1324</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0</v>
      </c>
    </row>
    <row r="84" spans="1:69" ht="12.75" customHeight="1" x14ac:dyDescent="0.2">
      <c r="C84" s="566">
        <v>68</v>
      </c>
      <c r="D84" s="567"/>
      <c r="E84" s="567"/>
      <c r="F84" s="568"/>
      <c r="G84" s="569"/>
      <c r="H84" s="568"/>
      <c r="I84" s="570" t="str">
        <f t="shared" si="34"/>
        <v/>
      </c>
      <c r="J84" s="568"/>
      <c r="K84" s="571"/>
      <c r="L84" s="1054"/>
      <c r="M84" s="572" t="str">
        <f t="shared" si="35"/>
        <v/>
      </c>
      <c r="N84" s="568"/>
      <c r="O84" s="571" t="s">
        <v>1324</v>
      </c>
      <c r="P84" s="568"/>
      <c r="Q84" s="571" t="s">
        <v>1324</v>
      </c>
      <c r="R84" s="568"/>
      <c r="S84" s="573" t="s">
        <v>1324</v>
      </c>
      <c r="T84" s="574"/>
      <c r="U84" s="574" t="s">
        <v>1324</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0</v>
      </c>
    </row>
    <row r="85" spans="1:69" ht="12.75" customHeight="1" x14ac:dyDescent="0.2">
      <c r="C85" s="566">
        <v>69</v>
      </c>
      <c r="D85" s="567"/>
      <c r="E85" s="567"/>
      <c r="F85" s="568"/>
      <c r="G85" s="569"/>
      <c r="H85" s="568"/>
      <c r="I85" s="570" t="str">
        <f t="shared" si="34"/>
        <v/>
      </c>
      <c r="J85" s="568"/>
      <c r="K85" s="571"/>
      <c r="L85" s="1054"/>
      <c r="M85" s="572" t="str">
        <f t="shared" si="35"/>
        <v/>
      </c>
      <c r="N85" s="568"/>
      <c r="O85" s="571" t="s">
        <v>1324</v>
      </c>
      <c r="P85" s="568"/>
      <c r="Q85" s="571" t="s">
        <v>1324</v>
      </c>
      <c r="R85" s="568"/>
      <c r="S85" s="573" t="s">
        <v>1324</v>
      </c>
      <c r="T85" s="574"/>
      <c r="U85" s="574" t="s">
        <v>1324</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0</v>
      </c>
    </row>
    <row r="86" spans="1:69" ht="12.75" customHeight="1" x14ac:dyDescent="0.2">
      <c r="C86" s="566">
        <v>70</v>
      </c>
      <c r="D86" s="567"/>
      <c r="E86" s="567"/>
      <c r="F86" s="568"/>
      <c r="G86" s="569"/>
      <c r="H86" s="568"/>
      <c r="I86" s="570" t="str">
        <f t="shared" si="34"/>
        <v/>
      </c>
      <c r="J86" s="568"/>
      <c r="K86" s="571"/>
      <c r="L86" s="1054"/>
      <c r="M86" s="572" t="str">
        <f t="shared" si="35"/>
        <v/>
      </c>
      <c r="N86" s="568"/>
      <c r="O86" s="571" t="s">
        <v>1324</v>
      </c>
      <c r="P86" s="568"/>
      <c r="Q86" s="571" t="s">
        <v>1324</v>
      </c>
      <c r="R86" s="568"/>
      <c r="S86" s="573" t="s">
        <v>1324</v>
      </c>
      <c r="T86" s="574"/>
      <c r="U86" s="574" t="s">
        <v>1324</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0</v>
      </c>
    </row>
    <row r="87" spans="1:69" ht="12.75" customHeight="1" x14ac:dyDescent="0.2">
      <c r="C87" s="566">
        <v>71</v>
      </c>
      <c r="D87" s="567"/>
      <c r="E87" s="567"/>
      <c r="F87" s="568"/>
      <c r="G87" s="569"/>
      <c r="H87" s="568"/>
      <c r="I87" s="570" t="str">
        <f t="shared" si="34"/>
        <v/>
      </c>
      <c r="J87" s="568"/>
      <c r="K87" s="571"/>
      <c r="L87" s="1054"/>
      <c r="M87" s="572" t="str">
        <f t="shared" si="35"/>
        <v/>
      </c>
      <c r="N87" s="568"/>
      <c r="O87" s="571" t="s">
        <v>1324</v>
      </c>
      <c r="P87" s="568"/>
      <c r="Q87" s="571" t="s">
        <v>1324</v>
      </c>
      <c r="R87" s="568"/>
      <c r="S87" s="573" t="s">
        <v>1324</v>
      </c>
      <c r="T87" s="574"/>
      <c r="U87" s="574" t="s">
        <v>1324</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0</v>
      </c>
    </row>
    <row r="88" spans="1:69" ht="12.75" customHeight="1" x14ac:dyDescent="0.2">
      <c r="C88" s="566">
        <v>72</v>
      </c>
      <c r="D88" s="567"/>
      <c r="E88" s="567"/>
      <c r="F88" s="568"/>
      <c r="G88" s="569"/>
      <c r="H88" s="568"/>
      <c r="I88" s="570" t="str">
        <f t="shared" si="34"/>
        <v/>
      </c>
      <c r="J88" s="568"/>
      <c r="K88" s="571"/>
      <c r="L88" s="1054"/>
      <c r="M88" s="572" t="str">
        <f t="shared" si="35"/>
        <v/>
      </c>
      <c r="N88" s="568"/>
      <c r="O88" s="571" t="s">
        <v>1324</v>
      </c>
      <c r="P88" s="568"/>
      <c r="Q88" s="571" t="s">
        <v>1324</v>
      </c>
      <c r="R88" s="568"/>
      <c r="S88" s="573" t="s">
        <v>1324</v>
      </c>
      <c r="T88" s="574"/>
      <c r="U88" s="574" t="s">
        <v>1324</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0</v>
      </c>
    </row>
    <row r="89" spans="1:69" ht="12.75" customHeight="1" x14ac:dyDescent="0.2">
      <c r="C89" s="566">
        <v>73</v>
      </c>
      <c r="D89" s="567"/>
      <c r="E89" s="567"/>
      <c r="F89" s="568"/>
      <c r="G89" s="569"/>
      <c r="H89" s="568"/>
      <c r="I89" s="570" t="str">
        <f t="shared" si="34"/>
        <v/>
      </c>
      <c r="J89" s="568"/>
      <c r="K89" s="571"/>
      <c r="L89" s="1054"/>
      <c r="M89" s="572" t="str">
        <f t="shared" si="35"/>
        <v/>
      </c>
      <c r="N89" s="568"/>
      <c r="O89" s="571" t="s">
        <v>1324</v>
      </c>
      <c r="P89" s="568"/>
      <c r="Q89" s="571" t="s">
        <v>1324</v>
      </c>
      <c r="R89" s="568"/>
      <c r="S89" s="573" t="s">
        <v>1324</v>
      </c>
      <c r="T89" s="574"/>
      <c r="U89" s="574" t="s">
        <v>1324</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0</v>
      </c>
    </row>
    <row r="90" spans="1:69" ht="12.75" customHeight="1" x14ac:dyDescent="0.2">
      <c r="C90" s="566">
        <v>74</v>
      </c>
      <c r="D90" s="567"/>
      <c r="E90" s="567"/>
      <c r="F90" s="568"/>
      <c r="G90" s="569"/>
      <c r="H90" s="568"/>
      <c r="I90" s="570" t="str">
        <f t="shared" si="34"/>
        <v/>
      </c>
      <c r="J90" s="568"/>
      <c r="K90" s="571"/>
      <c r="L90" s="1054"/>
      <c r="M90" s="572" t="str">
        <f t="shared" si="35"/>
        <v/>
      </c>
      <c r="N90" s="568"/>
      <c r="O90" s="571" t="s">
        <v>1324</v>
      </c>
      <c r="P90" s="568"/>
      <c r="Q90" s="571" t="s">
        <v>1324</v>
      </c>
      <c r="R90" s="568"/>
      <c r="S90" s="573" t="s">
        <v>1324</v>
      </c>
      <c r="T90" s="574"/>
      <c r="U90" s="574" t="s">
        <v>1324</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0</v>
      </c>
    </row>
    <row r="91" spans="1:69" ht="12.75" customHeight="1" x14ac:dyDescent="0.2">
      <c r="C91" s="578">
        <v>75</v>
      </c>
      <c r="D91" s="579"/>
      <c r="E91" s="579"/>
      <c r="F91" s="580"/>
      <c r="G91" s="581"/>
      <c r="H91" s="580"/>
      <c r="I91" s="582" t="str">
        <f t="shared" si="34"/>
        <v/>
      </c>
      <c r="J91" s="580"/>
      <c r="K91" s="583"/>
      <c r="L91" s="1055"/>
      <c r="M91" s="584" t="str">
        <f t="shared" si="35"/>
        <v/>
      </c>
      <c r="N91" s="580"/>
      <c r="O91" s="583" t="s">
        <v>1324</v>
      </c>
      <c r="P91" s="580"/>
      <c r="Q91" s="583" t="s">
        <v>1324</v>
      </c>
      <c r="R91" s="580"/>
      <c r="S91" s="585" t="s">
        <v>1324</v>
      </c>
      <c r="T91" s="586"/>
      <c r="U91" s="586" t="s">
        <v>1324</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0</v>
      </c>
    </row>
    <row r="92" spans="1:69" ht="12.75" customHeight="1" x14ac:dyDescent="0.25"/>
    <row r="93" spans="1:69" ht="12.75" customHeight="1" x14ac:dyDescent="0.25"/>
    <row r="94" spans="1:69" ht="12.75" customHeight="1" x14ac:dyDescent="0.25"/>
    <row r="95" spans="1:69" s="125" customFormat="1" ht="20.100000000000001" customHeight="1" thickBot="1" x14ac:dyDescent="0.3">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x14ac:dyDescent="0.25">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x14ac:dyDescent="0.2">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x14ac:dyDescent="0.2">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2">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2">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2">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2">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2">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2">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2">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2">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2">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2">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x14ac:dyDescent="0.3">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4.25" x14ac:dyDescent="0.2">
      <c r="C111" s="325" t="str">
        <f>Translations!$B$180</f>
        <v>Ex.1</v>
      </c>
      <c r="D111" s="326" t="s">
        <v>1327</v>
      </c>
      <c r="E111" s="326" t="s">
        <v>1327</v>
      </c>
      <c r="F111" s="647"/>
      <c r="G111" s="325"/>
      <c r="H111" s="647"/>
      <c r="I111" s="325"/>
      <c r="J111" s="647"/>
      <c r="K111" s="325"/>
      <c r="L111" s="325"/>
      <c r="M111" s="325"/>
      <c r="N111" s="647"/>
      <c r="O111" s="325"/>
      <c r="P111" s="647"/>
      <c r="Q111" s="325"/>
      <c r="R111" s="330">
        <v>0</v>
      </c>
      <c r="S111" s="328" t="s">
        <v>1324</v>
      </c>
      <c r="T111" s="329">
        <v>0</v>
      </c>
      <c r="U111" s="329" t="s">
        <v>1324</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4.25" x14ac:dyDescent="0.2">
      <c r="C112" s="325" t="str">
        <f>Translations!$B$185</f>
        <v>Ex.2</v>
      </c>
      <c r="D112" s="326" t="str">
        <f>Translations!$B$211</f>
        <v>CO2 transfer</v>
      </c>
      <c r="E112" s="326" t="s">
        <v>1328</v>
      </c>
      <c r="F112" s="647"/>
      <c r="G112" s="325"/>
      <c r="H112" s="647"/>
      <c r="I112" s="325"/>
      <c r="J112" s="647"/>
      <c r="K112" s="325"/>
      <c r="L112" s="325"/>
      <c r="M112" s="325"/>
      <c r="N112" s="647"/>
      <c r="O112" s="325"/>
      <c r="P112" s="647"/>
      <c r="Q112" s="325"/>
      <c r="R112" s="330">
        <v>0</v>
      </c>
      <c r="S112" s="328" t="s">
        <v>1324</v>
      </c>
      <c r="T112" s="329">
        <v>0</v>
      </c>
      <c r="U112" s="329" t="s">
        <v>1324</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4.25" x14ac:dyDescent="0.2">
      <c r="C113" s="590">
        <v>1</v>
      </c>
      <c r="D113" s="555"/>
      <c r="E113" s="555"/>
      <c r="F113" s="591"/>
      <c r="G113" s="592"/>
      <c r="H113" s="591"/>
      <c r="I113" s="592"/>
      <c r="J113" s="591"/>
      <c r="K113" s="592"/>
      <c r="L113" s="592"/>
      <c r="M113" s="592"/>
      <c r="N113" s="591"/>
      <c r="O113" s="592"/>
      <c r="P113" s="591"/>
      <c r="Q113" s="592"/>
      <c r="R113" s="611"/>
      <c r="S113" s="561" t="s">
        <v>1324</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25" x14ac:dyDescent="0.2">
      <c r="C114" s="597">
        <v>2</v>
      </c>
      <c r="D114" s="567"/>
      <c r="E114" s="567"/>
      <c r="F114" s="598"/>
      <c r="G114" s="599"/>
      <c r="H114" s="598"/>
      <c r="I114" s="599"/>
      <c r="J114" s="598"/>
      <c r="K114" s="599"/>
      <c r="L114" s="599"/>
      <c r="M114" s="599"/>
      <c r="N114" s="598"/>
      <c r="O114" s="599"/>
      <c r="P114" s="598"/>
      <c r="Q114" s="599"/>
      <c r="R114" s="615"/>
      <c r="S114" s="573" t="s">
        <v>1324</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25" x14ac:dyDescent="0.2">
      <c r="C115" s="597">
        <v>3</v>
      </c>
      <c r="D115" s="567"/>
      <c r="E115" s="567"/>
      <c r="F115" s="598"/>
      <c r="G115" s="599"/>
      <c r="H115" s="598"/>
      <c r="I115" s="599"/>
      <c r="J115" s="598"/>
      <c r="K115" s="599"/>
      <c r="L115" s="599"/>
      <c r="M115" s="599"/>
      <c r="N115" s="598"/>
      <c r="O115" s="599"/>
      <c r="P115" s="598"/>
      <c r="Q115" s="599"/>
      <c r="R115" s="615"/>
      <c r="S115" s="573" t="s">
        <v>1324</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25" x14ac:dyDescent="0.2">
      <c r="C116" s="597">
        <v>4</v>
      </c>
      <c r="D116" s="567"/>
      <c r="E116" s="567"/>
      <c r="F116" s="598"/>
      <c r="G116" s="599"/>
      <c r="H116" s="598"/>
      <c r="I116" s="599"/>
      <c r="J116" s="598"/>
      <c r="K116" s="599"/>
      <c r="L116" s="599"/>
      <c r="M116" s="599"/>
      <c r="N116" s="598"/>
      <c r="O116" s="599"/>
      <c r="P116" s="598"/>
      <c r="Q116" s="599"/>
      <c r="R116" s="615"/>
      <c r="S116" s="573" t="s">
        <v>1324</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25" x14ac:dyDescent="0.2">
      <c r="C117" s="597">
        <v>5</v>
      </c>
      <c r="D117" s="567"/>
      <c r="E117" s="567"/>
      <c r="F117" s="598"/>
      <c r="G117" s="599"/>
      <c r="H117" s="598"/>
      <c r="I117" s="599"/>
      <c r="J117" s="598"/>
      <c r="K117" s="599"/>
      <c r="L117" s="599"/>
      <c r="M117" s="599"/>
      <c r="N117" s="598"/>
      <c r="O117" s="599"/>
      <c r="P117" s="598"/>
      <c r="Q117" s="599"/>
      <c r="R117" s="615"/>
      <c r="S117" s="573" t="s">
        <v>1324</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25" x14ac:dyDescent="0.2">
      <c r="C118" s="597">
        <v>6</v>
      </c>
      <c r="D118" s="567"/>
      <c r="E118" s="567"/>
      <c r="F118" s="598"/>
      <c r="G118" s="599"/>
      <c r="H118" s="598"/>
      <c r="I118" s="599"/>
      <c r="J118" s="598"/>
      <c r="K118" s="599"/>
      <c r="L118" s="599"/>
      <c r="M118" s="599"/>
      <c r="N118" s="598"/>
      <c r="O118" s="599"/>
      <c r="P118" s="598"/>
      <c r="Q118" s="599"/>
      <c r="R118" s="615"/>
      <c r="S118" s="573" t="s">
        <v>1324</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25" x14ac:dyDescent="0.2">
      <c r="C119" s="597">
        <v>7</v>
      </c>
      <c r="D119" s="567"/>
      <c r="E119" s="567"/>
      <c r="F119" s="598"/>
      <c r="G119" s="599"/>
      <c r="H119" s="598"/>
      <c r="I119" s="599"/>
      <c r="J119" s="598"/>
      <c r="K119" s="599"/>
      <c r="L119" s="599"/>
      <c r="M119" s="599"/>
      <c r="N119" s="598"/>
      <c r="O119" s="599"/>
      <c r="P119" s="598"/>
      <c r="Q119" s="599"/>
      <c r="R119" s="615"/>
      <c r="S119" s="573" t="s">
        <v>1324</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25" x14ac:dyDescent="0.2">
      <c r="C120" s="597">
        <v>8</v>
      </c>
      <c r="D120" s="567"/>
      <c r="E120" s="567"/>
      <c r="F120" s="598"/>
      <c r="G120" s="599"/>
      <c r="H120" s="598"/>
      <c r="I120" s="599"/>
      <c r="J120" s="598"/>
      <c r="K120" s="599"/>
      <c r="L120" s="599"/>
      <c r="M120" s="599"/>
      <c r="N120" s="598"/>
      <c r="O120" s="599"/>
      <c r="P120" s="598"/>
      <c r="Q120" s="599"/>
      <c r="R120" s="615"/>
      <c r="S120" s="573" t="s">
        <v>1324</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25" x14ac:dyDescent="0.2">
      <c r="C121" s="597">
        <v>9</v>
      </c>
      <c r="D121" s="567"/>
      <c r="E121" s="567"/>
      <c r="F121" s="598"/>
      <c r="G121" s="599"/>
      <c r="H121" s="598"/>
      <c r="I121" s="599"/>
      <c r="J121" s="598"/>
      <c r="K121" s="599"/>
      <c r="L121" s="599"/>
      <c r="M121" s="599"/>
      <c r="N121" s="598"/>
      <c r="O121" s="599"/>
      <c r="P121" s="598"/>
      <c r="Q121" s="599"/>
      <c r="R121" s="615"/>
      <c r="S121" s="573" t="s">
        <v>1324</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25" x14ac:dyDescent="0.2">
      <c r="C122" s="604">
        <v>10</v>
      </c>
      <c r="D122" s="579"/>
      <c r="E122" s="579"/>
      <c r="F122" s="605"/>
      <c r="G122" s="606"/>
      <c r="H122" s="605"/>
      <c r="I122" s="606"/>
      <c r="J122" s="605"/>
      <c r="K122" s="606"/>
      <c r="L122" s="606"/>
      <c r="M122" s="606"/>
      <c r="N122" s="605"/>
      <c r="O122" s="606"/>
      <c r="P122" s="605"/>
      <c r="Q122" s="606"/>
      <c r="R122" s="619"/>
      <c r="S122" s="585" t="s">
        <v>1324</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25">
      <c r="A124" s="89" t="s">
        <v>0</v>
      </c>
      <c r="AZ124" s="89" t="s">
        <v>7</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phoneticPr fontId="68" type="noConversion"/>
  <conditionalFormatting sqref="E17:AY91">
    <cfRule type="expression" dxfId="501" priority="2">
      <formula>$BQ17</formula>
    </cfRule>
  </conditionalFormatting>
  <conditionalFormatting sqref="J17:K91">
    <cfRule type="expression" dxfId="500" priority="3">
      <formula>$BL17</formula>
    </cfRule>
  </conditionalFormatting>
  <conditionalFormatting sqref="L17:M91">
    <cfRule type="expression" dxfId="499" priority="6">
      <formula>$BM17</formula>
    </cfRule>
  </conditionalFormatting>
  <conditionalFormatting sqref="N17:O91">
    <cfRule type="expression" dxfId="498" priority="5">
      <formula>$BN17</formula>
    </cfRule>
  </conditionalFormatting>
  <conditionalFormatting sqref="P17:Q91">
    <cfRule type="expression" dxfId="497" priority="4">
      <formula>$BO17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Translations!$B$212</f>
        <v>Energy &amp; Emissions</v>
      </c>
      <c r="C2" s="1074"/>
      <c r="D2" s="1075"/>
      <c r="E2" s="1082"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ADDRESS(ROW($B$2),COLUMN($B$2)) &amp; ":" &amp; ADDRESS(MATCH("PRINT",$P:$P,0),COLUMN($O$19))</f>
        <v>$B$2:$O$44</v>
      </c>
      <c r="T2" s="89" t="s">
        <v>2</v>
      </c>
      <c r="U2" s="102" t="str">
        <f ca="1">IF(ISERROR(CELL("filename",V2)),"MSParameters",MID(CELL("filename",V2),FIND("]",CELL("filename",V2))+1,1024))</f>
        <v>C_Emissions&amp;Energy</v>
      </c>
    </row>
    <row r="3" spans="1:24" ht="14.1" customHeight="1" x14ac:dyDescent="0.25">
      <c r="B3" s="1076"/>
      <c r="C3" s="1077"/>
      <c r="D3" s="1078"/>
      <c r="E3" s="1068"/>
      <c r="F3" s="1068"/>
      <c r="G3" s="1068" t="str">
        <f>IFERROR(HYPERLINK("#"&amp;ADDRESS(ROW($A$1)+MATCH(R3,$A:$A,0)-1,3),INDEX($R:$R,MATCH(R3,$A:$A,0))),"")</f>
        <v>Fuel balance</v>
      </c>
      <c r="H3" s="1068"/>
      <c r="I3" s="1068" t="str">
        <f>IFERROR(HYPERLINK("#"&amp;ADDRESS(ROW($A$1)+MATCH(T3,$A:$A,0)-1,3),INDEX($R:$R,MATCH(T3,$A:$A,0))),"")</f>
        <v>GHG balance &amp; data quality</v>
      </c>
      <c r="J3" s="1068"/>
      <c r="K3" s="1068" t="str">
        <f>IFERROR(HYPERLINK("#"&amp;ADDRESS(ROW($A$1)+MATCH(V3,$A:$A,0)-1,3),INDEX($R:$R,MATCH(V3,$A:$A,0))),"")</f>
        <v/>
      </c>
      <c r="L3" s="1068"/>
      <c r="M3" s="1068" t="str">
        <f>IFERROR(HYPERLINK("#"&amp;ADDRESS(ROW($A$1)+MATCH(X3,$A:$A,0)-1,3),INDEX($R:$R,MATCH(X3,$A:$A,0))),"")</f>
        <v/>
      </c>
      <c r="N3" s="1068"/>
      <c r="R3" s="306">
        <v>1</v>
      </c>
      <c r="S3" s="307"/>
      <c r="T3" s="307">
        <v>2</v>
      </c>
      <c r="U3" s="307"/>
      <c r="V3" s="307">
        <v>3</v>
      </c>
      <c r="W3" s="307"/>
      <c r="X3" s="308">
        <v>4</v>
      </c>
    </row>
    <row r="4" spans="1:24" ht="14.1" customHeight="1" thickBot="1" x14ac:dyDescent="0.3">
      <c r="B4" s="1079"/>
      <c r="C4" s="1080"/>
      <c r="D4" s="1081"/>
      <c r="E4" s="1068"/>
      <c r="F4" s="1068"/>
      <c r="G4" s="1068" t="str">
        <f>IFERROR(HYPERLINK("#"&amp;ADDRESS(ROW($A$1)+MATCH(R4,$A:$A,0)-1,3),INDEX($R:$R,MATCH(R4,$A:$A,0))),"")</f>
        <v/>
      </c>
      <c r="H4" s="1068"/>
      <c r="I4" s="1068" t="str">
        <f>IFERROR(HYPERLINK("#"&amp;ADDRESS(ROW($A$1)+MATCH(T4,$A:$A,0)-1,3),INDEX($R:$R,MATCH(T4,$A:$A,0))),"")</f>
        <v/>
      </c>
      <c r="J4" s="1068"/>
      <c r="K4" s="1068" t="str">
        <f>IFERROR(HYPERLINK("#"&amp;ADDRESS(ROW($A$1)+MATCH(V4,$A:$A,0)-1,3),INDEX($R:$R,MATCH(V4,$A:$A,0))),"")</f>
        <v/>
      </c>
      <c r="L4" s="1068"/>
      <c r="M4" s="1068" t="str">
        <f>IFERROR(HYPERLINK("#"&amp;ADDRESS(ROW($A$1)+MATCH(X4,$A:$A,0)-1,3),INDEX($R:$R,MATCH(X4,$A:$A,0))),"")</f>
        <v/>
      </c>
      <c r="N4" s="1068"/>
      <c r="R4" s="309">
        <v>5</v>
      </c>
      <c r="S4" s="126"/>
      <c r="T4" s="126">
        <v>6</v>
      </c>
      <c r="U4" s="126"/>
      <c r="V4" s="126">
        <v>7</v>
      </c>
      <c r="W4" s="126"/>
      <c r="X4" s="310">
        <v>8</v>
      </c>
    </row>
    <row r="5" spans="1:24" ht="5.0999999999999996" customHeight="1" x14ac:dyDescent="0.25"/>
    <row r="6" spans="1:24" ht="25.5" customHeight="1" x14ac:dyDescent="0.25">
      <c r="C6" s="106" t="s">
        <v>14</v>
      </c>
      <c r="E6" s="106" t="str">
        <f>Translations!$B$213</f>
        <v>Sheet "C_Emissions&amp;Energy" - Installation-level GHG emissions and energy consumption</v>
      </c>
      <c r="R6" s="105" t="str">
        <f>Translations!$B$214</f>
        <v>Values</v>
      </c>
      <c r="S6" s="105" t="s">
        <v>20</v>
      </c>
      <c r="T6" s="126"/>
      <c r="U6" s="126"/>
      <c r="V6" s="105" t="str">
        <f>Translations!$B$66</f>
        <v>Errors</v>
      </c>
      <c r="W6" s="126"/>
      <c r="X6" s="105" t="s">
        <v>21</v>
      </c>
    </row>
    <row r="7" spans="1:24" ht="12.75" customHeight="1" x14ac:dyDescent="0.25"/>
    <row r="8" spans="1:24" ht="18" customHeight="1" x14ac:dyDescent="0.25">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x14ac:dyDescent="0.25"/>
    <row r="10" spans="1:24" ht="12.75" customHeight="1" x14ac:dyDescent="0.25">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x14ac:dyDescent="0.25">
      <c r="D11" s="552" t="s">
        <v>1329</v>
      </c>
      <c r="E11" s="1174" t="str">
        <f>Translations!$B$217</f>
        <v>Fuel input to all CBAM production processes (including precursors produced within the installation), either directly or via the production of measurable heat (e.g. steam) with the exception of fuel for electricity.</v>
      </c>
      <c r="F11" s="1174"/>
      <c r="G11" s="1174"/>
      <c r="H11" s="1174"/>
      <c r="I11" s="1174"/>
      <c r="J11" s="1174"/>
      <c r="K11" s="1174"/>
      <c r="L11" s="1174"/>
      <c r="M11" s="1174"/>
      <c r="N11" s="1174"/>
    </row>
    <row r="12" spans="1:24" ht="12.75" customHeight="1" x14ac:dyDescent="0.25">
      <c r="D12" s="552" t="s">
        <v>1329</v>
      </c>
      <c r="E12" s="1175" t="str">
        <f>Translations!$B$218</f>
        <v>Fuel input for electricity production</v>
      </c>
      <c r="F12" s="1089"/>
      <c r="G12" s="1089"/>
      <c r="H12" s="1089"/>
      <c r="I12" s="1089"/>
      <c r="J12" s="1089"/>
      <c r="K12" s="1089"/>
      <c r="L12" s="1089"/>
      <c r="M12" s="1089"/>
      <c r="N12" s="1089"/>
    </row>
    <row r="13" spans="1:24" ht="12.75" customHeight="1" x14ac:dyDescent="0.25">
      <c r="D13" s="552" t="s">
        <v>1329</v>
      </c>
      <c r="E13" s="1175" t="str">
        <f>Translations!$B$219</f>
        <v>Fuel input to all non-CBAM production processes, either directly or via the production of measurable heat (e.g. steam).</v>
      </c>
      <c r="F13" s="1089"/>
      <c r="G13" s="1089"/>
      <c r="H13" s="1089"/>
      <c r="I13" s="1089"/>
      <c r="J13" s="1089"/>
      <c r="K13" s="1089"/>
      <c r="L13" s="1089"/>
      <c r="M13" s="1089"/>
      <c r="N13" s="1089"/>
    </row>
    <row r="14" spans="1:24" s="133" customFormat="1" ht="60" customHeight="1" x14ac:dyDescent="0.2">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x14ac:dyDescent="0.25">
      <c r="D15" s="137" t="s">
        <v>1238</v>
      </c>
      <c r="E15" s="138" t="str">
        <f>Translations!$B$227</f>
        <v>from sheet "B_EmInst"</v>
      </c>
      <c r="F15" s="138"/>
      <c r="G15" s="139" t="str">
        <f>CONST_TJ</f>
        <v>TJ</v>
      </c>
      <c r="H15" s="297" t="str">
        <f>IF(CNTR_HasEntriesA,SUMIFS(B_EmInst!$AX:$AX,B_EmInst!$BA:$BA,CONST_CNTR_SUM_CO2)+SUMIFS(B_EmInst!$AY:$AY,B_EmInst!$BA:$BA,CONST_CNTR_SUM_CO2),"")</f>
        <v/>
      </c>
      <c r="I15" s="298"/>
      <c r="J15" s="298"/>
      <c r="K15" s="298"/>
      <c r="L15" s="1056"/>
    </row>
    <row r="16" spans="1:24" ht="12.75" customHeight="1" x14ac:dyDescent="0.25">
      <c r="D16" s="137" t="s">
        <v>1239</v>
      </c>
      <c r="E16" s="141" t="str">
        <f>Translations!$B$228</f>
        <v>manual entries</v>
      </c>
      <c r="F16" s="141"/>
      <c r="G16" s="142" t="str">
        <f>CONST_TJ</f>
        <v>TJ</v>
      </c>
      <c r="H16" s="151"/>
      <c r="I16" s="151"/>
      <c r="J16" s="151"/>
      <c r="K16" s="151"/>
      <c r="L16" s="1057"/>
    </row>
    <row r="17" spans="1:24" ht="12.75" customHeight="1" x14ac:dyDescent="0.25">
      <c r="D17" s="137" t="s">
        <v>1240</v>
      </c>
      <c r="E17" s="143" t="str">
        <f>Translations!$B$229</f>
        <v>Results:</v>
      </c>
      <c r="F17" s="143"/>
      <c r="G17" s="144" t="str">
        <f>CONST_TJ</f>
        <v>TJ</v>
      </c>
      <c r="H17" s="299" t="str">
        <f>IF(H16="",H15,H16)</f>
        <v/>
      </c>
      <c r="I17" s="299" t="str">
        <f>IF(I16="","",I16)</f>
        <v/>
      </c>
      <c r="J17" s="299" t="str">
        <f>IF(J16="","",J16)</f>
        <v/>
      </c>
      <c r="K17" s="299" t="str">
        <f>IF(K16="","",K16)</f>
        <v/>
      </c>
      <c r="L17" s="299" t="str">
        <f>IF(COUNT(H17:K17)&gt;0,SUM(H17)-SUM(I17:K17),"")</f>
        <v/>
      </c>
    </row>
    <row r="18" spans="1:24" ht="12.75" customHeight="1" x14ac:dyDescent="0.25"/>
    <row r="19" spans="1:24" ht="18" customHeight="1" x14ac:dyDescent="0.25">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x14ac:dyDescent="0.25"/>
    <row r="21" spans="1:24" ht="12.75" customHeight="1" x14ac:dyDescent="0.25">
      <c r="D21" s="9" t="s">
        <v>1252</v>
      </c>
      <c r="E21" s="1123" t="str">
        <f>Translations!$B$1850</f>
        <v>GHG balance by type of GHG</v>
      </c>
      <c r="F21" s="1123"/>
      <c r="G21" s="1123"/>
      <c r="H21" s="1123"/>
      <c r="I21" s="1123"/>
      <c r="J21" s="1123"/>
      <c r="K21" s="1123"/>
      <c r="L21" s="1123"/>
      <c r="M21" s="1123"/>
      <c r="N21" s="1123"/>
    </row>
    <row r="22" spans="1:24" ht="25.5" customHeight="1" x14ac:dyDescent="0.25">
      <c r="E22" s="1174" t="str">
        <f>Translations!$B$231</f>
        <v>Values below are taken automatically from entries in sheet "B_EmInst". If entries made in that sheet are incomplete, please enter the total emissions figures manually under ii. to override automatic results displayed under i.</v>
      </c>
      <c r="F22" s="1174"/>
      <c r="G22" s="1174"/>
      <c r="H22" s="1174"/>
      <c r="I22" s="1174"/>
      <c r="J22" s="1174"/>
      <c r="K22" s="1174"/>
      <c r="L22" s="1174"/>
      <c r="M22" s="1174"/>
      <c r="N22" s="1174"/>
    </row>
    <row r="23" spans="1:24" s="133" customFormat="1" ht="38.25" customHeight="1" x14ac:dyDescent="0.2">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x14ac:dyDescent="0.25">
      <c r="D24" s="137" t="s">
        <v>1238</v>
      </c>
      <c r="E24" s="138" t="str">
        <f>Translations!$B$227</f>
        <v>from sheet "B_EmInst"</v>
      </c>
      <c r="F24" s="138"/>
      <c r="G24" s="139" t="str">
        <f>CONST_tCO2eq</f>
        <v>tCO2e</v>
      </c>
      <c r="H24" s="140" t="str">
        <f>IF(CNTR_HasEntriesA,SUMIFS(B_EmInst!$AU:$AU,B_EmInst!$BA:$BA,CONST_CNTR_SUM_CO2),"")</f>
        <v/>
      </c>
      <c r="I24" s="140" t="str">
        <f>IF(CNTR_HasEntriesA,SUMIFS(B_EmInst!AV:AV,B_EmInst!$BA:$BA,CONST_CNTR_SUM_CO2),"")</f>
        <v/>
      </c>
      <c r="J24" s="140" t="str">
        <f>IF(CNTR_HasEntriesA,SUMIFS(B_EmInst!$AU:$AU,B_EmInst!$BA:$BA,CONST_CNTR_SUM_N2O),"")</f>
        <v/>
      </c>
      <c r="K24" s="140" t="str">
        <f>IF(CNTR_HasEntriesA,SUMIFS(B_EmInst!$AU:$AU,B_EmInst!$BA:$BA,CONST_CNTR_SUM_PFC),"")</f>
        <v/>
      </c>
      <c r="L24" s="140" t="str">
        <f>IF(COUNT(H24:K24)&gt;0,SUM(H24,J24:K24),"")</f>
        <v/>
      </c>
      <c r="M24" s="697"/>
      <c r="N24" s="697"/>
    </row>
    <row r="25" spans="1:24" ht="12.75" customHeight="1" x14ac:dyDescent="0.25">
      <c r="D25" s="137" t="s">
        <v>1239</v>
      </c>
      <c r="E25" s="148" t="str">
        <f>Translations!$B$228</f>
        <v>manual entries</v>
      </c>
      <c r="F25" s="148"/>
      <c r="G25" s="149" t="str">
        <f>CONST_tCO2eq</f>
        <v>tCO2e</v>
      </c>
      <c r="H25" s="35"/>
      <c r="I25" s="35"/>
      <c r="J25" s="35"/>
      <c r="K25" s="35"/>
      <c r="L25" s="35"/>
      <c r="M25" s="30"/>
      <c r="N25" s="698"/>
    </row>
    <row r="26" spans="1:24" ht="12.75" customHeight="1" x14ac:dyDescent="0.25">
      <c r="D26" s="137" t="s">
        <v>1240</v>
      </c>
      <c r="E26" s="143" t="str">
        <f>Translations!$B$229</f>
        <v>Results:</v>
      </c>
      <c r="F26" s="143"/>
      <c r="G26" s="144" t="str">
        <f>CONST_tCO2eq</f>
        <v>tCO2e</v>
      </c>
      <c r="H26" s="145" t="str">
        <f>IF(CNTR_HasEntriesA,IF(H25="",H24,H25),"")</f>
        <v/>
      </c>
      <c r="I26" s="145" t="str">
        <f>IF(CNTR_HasEntriesA,IF(I25="",I24,I25),"")</f>
        <v/>
      </c>
      <c r="J26" s="145" t="str">
        <f>IF(CNTR_HasEntriesA,IF(J25="",J24,J25),"")</f>
        <v/>
      </c>
      <c r="K26" s="145" t="str">
        <f>IF(CNTR_HasEntriesA,IF(K25="",K24,K25),"")</f>
        <v/>
      </c>
      <c r="L26" s="145" t="str">
        <f>IF(CNTR_HasEntriesA,IF(L25="",SUM(H26,J26:K26),L24),"")</f>
        <v/>
      </c>
      <c r="M26" s="145" t="str">
        <f>IF(M25="","",M25)</f>
        <v/>
      </c>
      <c r="N26" s="145" t="str">
        <f>IF(COUNT(L26:M26)&gt;0,SUM(L26:M26),"")</f>
        <v/>
      </c>
    </row>
    <row r="27" spans="1:24" ht="5.0999999999999996" customHeight="1" x14ac:dyDescent="0.25">
      <c r="D27" s="137"/>
      <c r="E27" s="98"/>
      <c r="F27" s="98"/>
      <c r="G27" s="120"/>
    </row>
    <row r="28" spans="1:24" ht="12.75" customHeight="1" x14ac:dyDescent="0.25">
      <c r="D28" s="9" t="s">
        <v>1253</v>
      </c>
      <c r="E28" s="1123" t="str">
        <f>Translations!$B$1851</f>
        <v>GHG balance by type of monitoring methodology</v>
      </c>
      <c r="F28" s="1123"/>
      <c r="G28" s="1123"/>
      <c r="H28" s="1123"/>
      <c r="I28" s="1123"/>
      <c r="J28" s="1123"/>
      <c r="K28" s="1123"/>
      <c r="L28" s="1123"/>
      <c r="M28" s="1123"/>
      <c r="N28" s="1123"/>
    </row>
    <row r="29" spans="1:24" ht="12.75" customHeight="1" x14ac:dyDescent="0.25">
      <c r="E29" s="1174" t="str">
        <f>Translations!$B$1852</f>
        <v>Values below are taken automatically from entries in sheet "B_EmInst" and point (a) above.</v>
      </c>
      <c r="F29" s="1174"/>
      <c r="G29" s="1174"/>
      <c r="H29" s="1174"/>
      <c r="I29" s="1174"/>
      <c r="J29" s="1174"/>
      <c r="K29" s="1174"/>
      <c r="L29" s="1174"/>
      <c r="M29" s="1174"/>
      <c r="N29" s="1174"/>
    </row>
    <row r="30" spans="1:24" ht="38.85" customHeight="1" x14ac:dyDescent="0.2">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x14ac:dyDescent="0.25">
      <c r="D31" s="137"/>
      <c r="E31" s="172" t="str">
        <f>Translations!$B$561</f>
        <v>Emissions</v>
      </c>
      <c r="F31" s="143"/>
      <c r="G31" s="901" t="str">
        <f>CONST_tCO2eq</f>
        <v>tCO2e</v>
      </c>
      <c r="H31" s="145" t="str">
        <f>IF(CNTR_HasEntriesA,SUM(B_EmInst!AU17:AU91),"")</f>
        <v/>
      </c>
      <c r="I31" s="145" t="str">
        <f>IF(CNTR_HasEntriesA,K26,"")</f>
        <v/>
      </c>
      <c r="J31" s="145" t="str">
        <f>IF(CNTR_HasEntriesA,SUM(B_EmInst!AU113:AU122),"")</f>
        <v/>
      </c>
      <c r="K31" s="145" t="str">
        <f>IF(CNTR_HasEntriesA,SUM(L26)-SUM(H31:J31),"")</f>
        <v/>
      </c>
    </row>
    <row r="32" spans="1:24" ht="5.0999999999999996" customHeight="1" x14ac:dyDescent="0.25">
      <c r="D32" s="137"/>
      <c r="E32" s="98"/>
      <c r="F32" s="98"/>
      <c r="G32" s="120"/>
    </row>
    <row r="33" spans="1:24" ht="12.75" customHeight="1" x14ac:dyDescent="0.25">
      <c r="D33" s="9" t="s">
        <v>1254</v>
      </c>
      <c r="E33" s="1123" t="str">
        <f>Translations!$B$1855</f>
        <v>Information on the data quality and quality assurance</v>
      </c>
      <c r="F33" s="1123"/>
      <c r="G33" s="1123"/>
      <c r="H33" s="1123"/>
      <c r="I33" s="1123"/>
      <c r="J33" s="1123"/>
      <c r="K33" s="1123"/>
      <c r="L33" s="1123"/>
      <c r="M33" s="1123"/>
      <c r="N33" s="1123"/>
    </row>
    <row r="34" spans="1:24" ht="5.0999999999999996" customHeight="1" x14ac:dyDescent="0.25">
      <c r="E34" s="1174"/>
      <c r="F34" s="1174"/>
      <c r="G34" s="1174"/>
      <c r="H34" s="1174"/>
      <c r="I34" s="1174"/>
      <c r="J34" s="1174"/>
      <c r="K34" s="1174"/>
      <c r="L34" s="1174"/>
      <c r="M34" s="1174"/>
      <c r="N34" s="1174"/>
    </row>
    <row r="35" spans="1:24" ht="25.5" customHeight="1" x14ac:dyDescent="0.2">
      <c r="E35" s="245" t="str">
        <f>Translations!$B$1856</f>
        <v>General information on data quality:</v>
      </c>
      <c r="F35" s="1184" t="str">
        <f>Translations!$B$1857</f>
        <v>Please select from the hierarchical order (descending order) in the drop-down list the predominant approach for determining the installation's direct emissions.</v>
      </c>
      <c r="G35" s="1184"/>
      <c r="H35" s="1184"/>
      <c r="I35" s="1184"/>
      <c r="J35" s="1184"/>
      <c r="K35" s="1184"/>
      <c r="L35" s="1184"/>
      <c r="M35" s="1185"/>
      <c r="N35" s="1185"/>
      <c r="S35" s="112"/>
    </row>
    <row r="36" spans="1:24" ht="25.5" customHeight="1" x14ac:dyDescent="0.2">
      <c r="E36" s="246" t="str">
        <f>Translations!$B$1858</f>
        <v>Justification for use of default values (if relevant):</v>
      </c>
      <c r="F36" s="1186" t="str">
        <f>Translations!$B$1859</f>
        <v>If the predominant method was to use default values published by the European Commission, please select from the drop-down list the most appropriate justification for not achieving higher data quality.</v>
      </c>
      <c r="G36" s="1187"/>
      <c r="H36" s="1187"/>
      <c r="I36" s="1187"/>
      <c r="J36" s="1187"/>
      <c r="K36" s="1187"/>
      <c r="L36" s="1187"/>
      <c r="M36" s="1187"/>
      <c r="N36" s="1187"/>
      <c r="S36" s="112"/>
    </row>
    <row r="37" spans="1:24" ht="25.5" customHeight="1" x14ac:dyDescent="0.2">
      <c r="E37" s="247" t="str">
        <f>Translations!$B$1860</f>
        <v>Information on quality assurance:</v>
      </c>
      <c r="F37" s="1188" t="str">
        <f>Translations!$B$1886</f>
        <v>Please select from the hierarchical order (descending order) in the drop-down list the approach for quality assurance of emissions data.</v>
      </c>
      <c r="G37" s="1189"/>
      <c r="H37" s="1189"/>
      <c r="I37" s="1189"/>
      <c r="J37" s="1189"/>
      <c r="K37" s="1189"/>
      <c r="L37" s="1189"/>
      <c r="M37" s="1189"/>
      <c r="N37" s="1189"/>
      <c r="S37" s="112"/>
    </row>
    <row r="38" spans="1:24" ht="5.0999999999999996" customHeight="1" x14ac:dyDescent="0.2">
      <c r="S38" s="112"/>
    </row>
    <row r="39" spans="1:24" ht="12.75" customHeight="1" x14ac:dyDescent="0.25">
      <c r="D39" s="137" t="s">
        <v>1238</v>
      </c>
      <c r="E39" s="138" t="str">
        <f>Translations!$B$1856</f>
        <v>General information on data quality:</v>
      </c>
      <c r="F39" s="138"/>
      <c r="G39" s="138"/>
      <c r="H39" s="1176"/>
      <c r="I39" s="1177"/>
      <c r="J39" s="1177"/>
      <c r="K39" s="1177"/>
      <c r="L39" s="1177"/>
      <c r="M39" s="1177"/>
      <c r="N39" s="1178"/>
      <c r="R39" s="105" t="str">
        <f>IF(H39="","",MATCH(H39,CONST_DataQuality,0))</f>
        <v/>
      </c>
    </row>
    <row r="40" spans="1:24" ht="12.75" customHeight="1" x14ac:dyDescent="0.25">
      <c r="D40" s="137" t="s">
        <v>1239</v>
      </c>
      <c r="E40" s="141" t="str">
        <f>Translations!$B$1858</f>
        <v>Justification for use of default values (if relevant):</v>
      </c>
      <c r="F40" s="141"/>
      <c r="G40" s="141"/>
      <c r="H40" s="1179"/>
      <c r="I40" s="1180"/>
      <c r="J40" s="1180"/>
      <c r="K40" s="1180"/>
      <c r="L40" s="1180"/>
      <c r="M40" s="1180"/>
      <c r="N40" s="1181"/>
      <c r="R40" s="105" t="str">
        <f>IF(H40="","",MATCH(H40,CONST_DataQualityJustification,0))</f>
        <v/>
      </c>
      <c r="X40" s="102" t="b">
        <f>IF(H39="",FALSE,H39&lt;&gt;INDEX(CONST_DataQuality,5))</f>
        <v>0</v>
      </c>
    </row>
    <row r="41" spans="1:24" ht="12.75" customHeight="1" x14ac:dyDescent="0.25">
      <c r="D41" s="137" t="s">
        <v>1240</v>
      </c>
      <c r="E41" s="172" t="str">
        <f>Translations!$B$1860</f>
        <v>Information on quality assurance:</v>
      </c>
      <c r="F41" s="143"/>
      <c r="G41" s="143"/>
      <c r="H41" s="1182"/>
      <c r="I41" s="1183"/>
      <c r="J41" s="1183"/>
      <c r="K41" s="1183"/>
      <c r="L41" s="1183"/>
      <c r="M41" s="1183"/>
      <c r="N41" s="1183"/>
      <c r="R41" s="105" t="str">
        <f>IF(H41="","",MATCH(H41,CONST_DataVerification,0))</f>
        <v/>
      </c>
    </row>
    <row r="42" spans="1:24" ht="12.75" customHeight="1" thickBot="1" x14ac:dyDescent="0.3"/>
    <row r="43" spans="1:24" ht="12.75" customHeight="1" x14ac:dyDescent="0.25">
      <c r="B43" s="150"/>
      <c r="C43" s="150"/>
      <c r="D43" s="150"/>
      <c r="E43" s="150"/>
      <c r="F43" s="150"/>
      <c r="G43" s="150"/>
      <c r="H43" s="150"/>
      <c r="I43" s="150"/>
      <c r="J43" s="150"/>
      <c r="K43" s="150"/>
      <c r="L43" s="150"/>
      <c r="M43" s="150"/>
      <c r="N43" s="150"/>
      <c r="O43" s="150"/>
    </row>
    <row r="44" spans="1:24" s="89" customFormat="1" ht="12.75" hidden="1" customHeight="1" x14ac:dyDescent="0.25">
      <c r="A44" s="89" t="s">
        <v>0</v>
      </c>
      <c r="P44" s="90" t="s">
        <v>7</v>
      </c>
    </row>
    <row r="45" spans="1:24" s="89" customFormat="1" ht="12.75" hidden="1" customHeight="1" x14ac:dyDescent="0.25">
      <c r="A45" s="89" t="s">
        <v>0</v>
      </c>
      <c r="P45" s="90"/>
    </row>
    <row r="46" spans="1:24" s="89" customFormat="1" ht="12.75" hidden="1" customHeight="1" x14ac:dyDescent="0.25">
      <c r="A46" s="89" t="s">
        <v>0</v>
      </c>
      <c r="P46" s="90"/>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phoneticPr fontId="68" type="noConversion"/>
  <conditionalFormatting sqref="H40:N40">
    <cfRule type="expression" dxfId="496"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39" activePane="bottomLeft" state="frozen"/>
      <selection pane="bottomLeft" activeCell="B2" sqref="B2:D5"/>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2" width="11.42578125" style="89" hidden="1" customWidth="1"/>
    <col min="23" max="23" width="11.42578125" style="104" hidden="1" customWidth="1"/>
    <col min="24"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Translations!$B$240</f>
        <v>Production processes</v>
      </c>
      <c r="C2" s="1074"/>
      <c r="D2" s="1075"/>
      <c r="E2" s="1199"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304" t="str">
        <f>ADDRESS(ROW($B$2),COLUMN($B$50)) &amp; ":" &amp; ADDRESS(MATCH("PRINT",$P:$P,0),COLUMN($O$50))</f>
        <v>$B$2:$O$662</v>
      </c>
      <c r="T2" s="89" t="s">
        <v>2</v>
      </c>
      <c r="U2" s="305" t="str">
        <f ca="1">IF(ISERROR(CELL("filename",V2)),"MSParameters",MID(CELL("filename",V2),FIND("]",CELL("filename",V2))+1,1024))</f>
        <v>D_Processes</v>
      </c>
    </row>
    <row r="3" spans="1:24" ht="14.1" customHeight="1" x14ac:dyDescent="0.25">
      <c r="B3" s="1076"/>
      <c r="C3" s="1077"/>
      <c r="D3" s="1078"/>
      <c r="E3" s="1197"/>
      <c r="F3" s="1198"/>
      <c r="G3" s="1198" t="str">
        <f>IF(INDEX(CNTR_List_ExistProdProcNames,R3)=CONST_NA,"",HYPERLINK("#"&amp;ADDRESS(ROW($C$11)+MATCH(R3,$C$11:$C$662,0)-1,COLUMN($C$11)),INDEX(CNTR_List_ExistProdProcNames,R3)))</f>
        <v/>
      </c>
      <c r="H3" s="1198"/>
      <c r="I3" s="1198" t="str">
        <f>IF(INDEX(CNTR_List_ExistProdProcNames,T3)=CONST_NA,"",HYPERLINK("#"&amp;ADDRESS(ROW($C$11)+MATCH(T3,$C$11:$C$662,0)-1,COLUMN($C$11)),INDEX(CNTR_List_ExistProdProcNames,T3)))</f>
        <v/>
      </c>
      <c r="J3" s="1198"/>
      <c r="K3" s="1198" t="str">
        <f>IF(INDEX(CNTR_List_ExistProdProcNames,V3)=CONST_NA,"",HYPERLINK("#"&amp;ADDRESS(ROW($C$11)+MATCH(V3,$C$11:$C$662,0)-1,COLUMN($C$11)),INDEX(CNTR_List_ExistProdProcNames,V3)))</f>
        <v/>
      </c>
      <c r="L3" s="1198"/>
      <c r="M3" s="1198" t="str">
        <f>IF(INDEX(CNTR_List_ExistProdProcNames,X3)=CONST_NA,"",HYPERLINK("#"&amp;ADDRESS(ROW($C$11)+MATCH(X3,$C$11:$C$662,0)-1,COLUMN($C$11)),INDEX(CNTR_List_ExistProdProcNames,X3)))</f>
        <v/>
      </c>
      <c r="N3" s="1198"/>
      <c r="R3" s="306">
        <v>1</v>
      </c>
      <c r="S3" s="307"/>
      <c r="T3" s="307">
        <v>2</v>
      </c>
      <c r="U3" s="307"/>
      <c r="V3" s="307">
        <v>3</v>
      </c>
      <c r="W3" s="307"/>
      <c r="X3" s="308">
        <v>4</v>
      </c>
    </row>
    <row r="4" spans="1:24" ht="14.1" customHeight="1" x14ac:dyDescent="0.25">
      <c r="B4" s="1076"/>
      <c r="C4" s="1077"/>
      <c r="D4" s="1078"/>
      <c r="E4" s="1200"/>
      <c r="F4" s="1068"/>
      <c r="G4" s="1068" t="str">
        <f>IF(INDEX(CNTR_List_ExistProdProcNames,R4)=CONST_NA,"",HYPERLINK("#"&amp;ADDRESS(ROW($C$11)+MATCH(R4,$C$11:$C$662,0)-1,COLUMN($C$11)),INDEX(CNTR_List_ExistProdProcNames,R4)))</f>
        <v/>
      </c>
      <c r="H4" s="1068"/>
      <c r="I4" s="1068" t="str">
        <f>IF(INDEX(CNTR_List_ExistProdProcNames,T4)=CONST_NA,"",HYPERLINK("#"&amp;ADDRESS(ROW($C$11)+MATCH(T4,$C$11:$C$662,0)-1,COLUMN($C$11)),INDEX(CNTR_List_ExistProdProcNames,T4)))</f>
        <v/>
      </c>
      <c r="J4" s="1068"/>
      <c r="K4" s="1068" t="str">
        <f>IF(INDEX(CNTR_List_ExistProdProcNames,V4)=CONST_NA,"",HYPERLINK("#"&amp;ADDRESS(ROW($C$11)+MATCH(V4,$C$11:$C$662,0)-1,COLUMN($C$11)),INDEX(CNTR_List_ExistProdProcNames,V4)))</f>
        <v/>
      </c>
      <c r="L4" s="1068"/>
      <c r="M4" s="1068" t="str">
        <f>IF(INDEX(CNTR_List_ExistProdProcNames,X4)=CONST_NA,"",HYPERLINK("#"&amp;ADDRESS(ROW($C$11)+MATCH(X4,$C$11:$C$662,0)-1,COLUMN($C$11)),INDEX(CNTR_List_ExistProdProcNames,X4)))</f>
        <v/>
      </c>
      <c r="N4" s="1068"/>
      <c r="R4" s="309">
        <v>5</v>
      </c>
      <c r="S4" s="126"/>
      <c r="T4" s="126">
        <v>6</v>
      </c>
      <c r="U4" s="126"/>
      <c r="V4" s="126">
        <v>7</v>
      </c>
      <c r="W4" s="126"/>
      <c r="X4" s="310">
        <v>8</v>
      </c>
    </row>
    <row r="5" spans="1:24" ht="14.1" customHeight="1" thickBot="1" x14ac:dyDescent="0.3">
      <c r="B5" s="1079"/>
      <c r="C5" s="1080"/>
      <c r="D5" s="1081"/>
      <c r="E5" s="1200"/>
      <c r="F5" s="1068"/>
      <c r="G5" s="1068" t="str">
        <f>IF(INDEX(CNTR_List_ExistProdProcNames,R5)=CONST_NA,"",HYPERLINK("#"&amp;ADDRESS(ROW($C$11)+MATCH(R5,$C$11:$C$662,0)-1,COLUMN($C$11)),INDEX(CNTR_List_ExistProdProcNames,R5)))</f>
        <v/>
      </c>
      <c r="H5" s="1068"/>
      <c r="I5" s="1068" t="str">
        <f>IF(INDEX(CNTR_List_ExistProdProcNames,T5)=CONST_NA,"",HYPERLINK("#"&amp;ADDRESS(ROW($C$11)+MATCH(T5,$C$11:$C$662,0)-1,COLUMN($C$11)),INDEX(CNTR_List_ExistProdProcNames,T5)))</f>
        <v/>
      </c>
      <c r="J5" s="1068"/>
      <c r="K5" s="1068"/>
      <c r="L5" s="1068"/>
      <c r="M5" s="1068"/>
      <c r="N5" s="1068"/>
      <c r="R5" s="311">
        <v>9</v>
      </c>
      <c r="S5" s="312"/>
      <c r="T5" s="312">
        <v>10</v>
      </c>
      <c r="U5" s="312"/>
      <c r="V5" s="312"/>
      <c r="W5" s="312"/>
      <c r="X5" s="313"/>
    </row>
    <row r="6" spans="1:24" ht="5.0999999999999996" customHeight="1" x14ac:dyDescent="0.25"/>
    <row r="7" spans="1:24" ht="25.5" customHeight="1" x14ac:dyDescent="0.25">
      <c r="C7" s="316" t="s">
        <v>15</v>
      </c>
      <c r="E7" s="106" t="str">
        <f>Translations!$B$241</f>
        <v>Sheet "D_Processes" - Production level and attributed emissions for SEE calculation</v>
      </c>
      <c r="R7" s="105" t="s">
        <v>19</v>
      </c>
      <c r="S7" s="105" t="s">
        <v>20</v>
      </c>
      <c r="T7" s="126"/>
      <c r="U7" s="126"/>
      <c r="V7" s="105" t="str">
        <f>Translations!$B$66</f>
        <v>Errors</v>
      </c>
      <c r="X7" s="105" t="s">
        <v>21</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CONST_ProductionProcess &amp; " " &amp; C11 &amp; ":"</f>
        <v>Production process 1:</v>
      </c>
      <c r="G11" s="1191" t="str">
        <f>IF(INDEX(CNTR_List_ExistProdProcNames,R11)=CONST_NA,"",INDEX(CNTR_List_ExistProdProcNames,R11))</f>
        <v/>
      </c>
      <c r="H11" s="1192"/>
      <c r="I11" s="1192"/>
      <c r="J11" s="1192"/>
      <c r="K11" s="1193"/>
      <c r="L11" s="1194" t="str">
        <f>IF(INDEX(CNTR_List_ExistProdProc,R11)=CONST_NA,"",INDEX(CNTR_List_ExistProdProc,R11))</f>
        <v/>
      </c>
      <c r="M11" s="1195"/>
      <c r="N11" s="1196"/>
      <c r="R11" s="154">
        <f>C11</f>
        <v>1</v>
      </c>
      <c r="W11" s="104" t="s">
        <v>1330</v>
      </c>
      <c r="X11" s="155" t="b">
        <f>AND(CNTR_HasEntriesA,G11="")</f>
        <v>0</v>
      </c>
    </row>
    <row r="12" spans="1:24" ht="5.0999999999999996" customHeight="1" x14ac:dyDescent="0.25">
      <c r="D12" s="103"/>
      <c r="E12" s="98"/>
    </row>
    <row r="13" spans="1:24" ht="12.75" customHeight="1" x14ac:dyDescent="0.25">
      <c r="D13" s="103"/>
      <c r="E13" s="1172" t="str">
        <f ca="1">HYPERLINK("#"&amp;ADDRESS(MATCH($S13,G_FurtherGuidance!$S:$S,0),3,,,G_FurtherGuidance!$U$2),CONST_LinkToGuidanceSheet)</f>
        <v>Please click on this link for further guidance on how to complete this section.</v>
      </c>
      <c r="F13" s="1172"/>
      <c r="G13" s="1172"/>
      <c r="H13" s="1172"/>
      <c r="I13" s="1172"/>
      <c r="J13" s="1172"/>
      <c r="K13" s="1172"/>
      <c r="L13" s="1172"/>
      <c r="M13" s="1172"/>
      <c r="R13" s="104" t="s">
        <v>1320</v>
      </c>
      <c r="S13" s="105">
        <v>3</v>
      </c>
    </row>
    <row r="14" spans="1:24" ht="5.0999999999999996" customHeight="1" x14ac:dyDescent="0.25">
      <c r="D14" s="103"/>
      <c r="E14" s="98"/>
    </row>
    <row r="15" spans="1:24" ht="12.75" customHeight="1" x14ac:dyDescent="0.25">
      <c r="D15" s="120" t="s">
        <v>1331</v>
      </c>
      <c r="E15" s="98" t="str">
        <f>Translations!$B$243</f>
        <v>Total production levels:</v>
      </c>
      <c r="H15" s="156" t="str">
        <f>Translations!$B$244</f>
        <v>Production route</v>
      </c>
      <c r="K15" s="157" t="str">
        <f>Translations!$B$221</f>
        <v>Unit</v>
      </c>
      <c r="L15" s="157" t="str">
        <f>Translations!$B$245</f>
        <v>Amounts</v>
      </c>
    </row>
    <row r="16" spans="1:24" ht="12.75" customHeight="1" x14ac:dyDescent="0.25">
      <c r="D16" s="174">
        <v>1</v>
      </c>
      <c r="E16" s="158" t="str">
        <f>IF(G11="","",G11) &amp; IF(L11="",""," | " &amp; L11)</f>
        <v/>
      </c>
      <c r="F16" s="158"/>
      <c r="G16" s="158"/>
      <c r="H16" s="159" t="str">
        <f>IF(L11="","",INDEX(CONST_MATRIX_ProductionRoute,MATCH(L11,CONST_LIST_Goods,0),D16))</f>
        <v/>
      </c>
      <c r="I16" s="158"/>
      <c r="J16" s="158"/>
      <c r="K16" s="160" t="str">
        <f>IF(L11="","",INDEX(CONST_LIST_GoodsUnit,MATCH(L11,CONST_LIST_Goods,0)))</f>
        <v/>
      </c>
      <c r="L16" s="28"/>
      <c r="O16" s="161"/>
      <c r="S16" s="105">
        <v>1</v>
      </c>
      <c r="T16" s="126"/>
      <c r="V16" s="162" t="str">
        <f>IF(AND(G11&lt;&gt;"",E16&lt;&gt;"",L16&lt;&gt;""),TRUE,IF(AND(G11&lt;&gt;"",OR(AND(E16&lt;&gt;"",L16=""),AND(E16="",L16&lt;&gt;""))),CONST_ErrorOrMissing&amp;C11,CONST_NA))</f>
        <v>n.a.</v>
      </c>
    </row>
    <row r="17" spans="4:24" ht="12.75" customHeight="1" x14ac:dyDescent="0.25">
      <c r="D17" s="174">
        <v>2</v>
      </c>
      <c r="E17" s="163" t="str">
        <f t="shared" ref="E17:E23" si="0">IF(H17=CONST_NA,"",E16)</f>
        <v/>
      </c>
      <c r="F17" s="163"/>
      <c r="G17" s="163"/>
      <c r="H17" s="164" t="str">
        <f>IF(L11="","",INDEX(CONST_MATRIX_ProductionRoute,MATCH(L11,CONST_LIST_Goods,0),D17))</f>
        <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x14ac:dyDescent="0.25">
      <c r="D18" s="174">
        <v>3</v>
      </c>
      <c r="E18" s="163" t="str">
        <f t="shared" si="0"/>
        <v/>
      </c>
      <c r="F18" s="163"/>
      <c r="G18" s="163"/>
      <c r="H18" s="164" t="str">
        <f>IF(L11="","",INDEX(CONST_MATRIX_ProductionRoute,MATCH(L11,CONST_LIST_Goods,0),D18))</f>
        <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x14ac:dyDescent="0.25">
      <c r="D19" s="174">
        <v>4</v>
      </c>
      <c r="E19" s="163" t="str">
        <f t="shared" si="0"/>
        <v/>
      </c>
      <c r="F19" s="163"/>
      <c r="G19" s="163"/>
      <c r="H19" s="164" t="str">
        <f>IF(L11="","",INDEX(CONST_MATRIX_ProductionRoute,MATCH(L11,CONST_LIST_Goods,0),D19))</f>
        <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x14ac:dyDescent="0.25">
      <c r="D20" s="174">
        <v>5</v>
      </c>
      <c r="E20" s="163" t="str">
        <f t="shared" si="0"/>
        <v/>
      </c>
      <c r="F20" s="163"/>
      <c r="G20" s="163"/>
      <c r="H20" s="164" t="str">
        <f>IF(L11="","",INDEX(CONST_MATRIX_ProductionRoute,MATCH(L11,CONST_LIST_Goods,0),D20))</f>
        <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x14ac:dyDescent="0.25">
      <c r="D21" s="174">
        <v>6</v>
      </c>
      <c r="E21" s="163" t="str">
        <f t="shared" si="0"/>
        <v/>
      </c>
      <c r="F21" s="163"/>
      <c r="G21" s="163"/>
      <c r="H21" s="164" t="str">
        <f>IF(L11="","",INDEX(CONST_MATRIX_ProductionRoute,MATCH(L11,CONST_LIST_Goods,0),D21))</f>
        <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x14ac:dyDescent="0.25">
      <c r="D22" s="174">
        <v>7</v>
      </c>
      <c r="E22" s="163" t="str">
        <f t="shared" si="0"/>
        <v/>
      </c>
      <c r="F22" s="163"/>
      <c r="G22" s="163"/>
      <c r="H22" s="164" t="str">
        <f>IF(L11="","",INDEX(CONST_MATRIX_ProductionRoute,MATCH(L11,CONST_LIST_Goods,0),D22))</f>
        <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x14ac:dyDescent="0.25">
      <c r="D23" s="174">
        <v>8</v>
      </c>
      <c r="E23" s="166" t="str">
        <f t="shared" si="0"/>
        <v/>
      </c>
      <c r="F23" s="166"/>
      <c r="G23" s="166"/>
      <c r="H23" s="167" t="str">
        <f>IF(L11="","",INDEX(CONST_MATRIX_ProductionRoute,MATCH(L11,CONST_LIST_Goods,0),D23))</f>
        <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x14ac:dyDescent="0.25">
      <c r="D24" s="103"/>
      <c r="E24" s="143" t="str">
        <f>Translations!$B$246</f>
        <v>Total production within installation (= denominator for SEE calculation):</v>
      </c>
      <c r="F24" s="143"/>
      <c r="G24" s="143"/>
      <c r="H24" s="169"/>
      <c r="I24" s="143"/>
      <c r="J24" s="143"/>
      <c r="K24" s="170" t="str">
        <f>K16</f>
        <v/>
      </c>
      <c r="L24" s="145" t="str">
        <f>IF(G11="","",SUM(L16:L23))</f>
        <v/>
      </c>
      <c r="R24" s="102" t="str">
        <f>CONST_CNTR_TotProd&amp;G11</f>
        <v>TotProd_</v>
      </c>
      <c r="T24" s="127" t="str">
        <f>IF(G11="","",L24)</f>
        <v/>
      </c>
    </row>
    <row r="25" spans="4:24" ht="5.0999999999999996" customHeight="1" x14ac:dyDescent="0.25">
      <c r="D25" s="137"/>
      <c r="E25" s="98"/>
      <c r="T25" s="128"/>
    </row>
    <row r="26" spans="4:24" ht="12.75" customHeight="1" x14ac:dyDescent="0.25">
      <c r="D26" s="120" t="s">
        <v>1253</v>
      </c>
      <c r="E26" s="98" t="str">
        <f>Translations!$B$247</f>
        <v>Production details</v>
      </c>
      <c r="F26" s="98"/>
      <c r="G26" s="98"/>
      <c r="H26" s="120"/>
      <c r="K26" s="120" t="str">
        <f>Translations!$B$221</f>
        <v>Unit</v>
      </c>
      <c r="L26" s="120" t="str">
        <f>Translations!$B$245</f>
        <v>Amounts</v>
      </c>
      <c r="T26" s="128"/>
    </row>
    <row r="27" spans="4:24" ht="12.75" customHeight="1" x14ac:dyDescent="0.25">
      <c r="D27" s="137" t="s">
        <v>1238</v>
      </c>
      <c r="E27" s="143" t="str">
        <f>Translations!$B$248</f>
        <v>Produced for the market</v>
      </c>
      <c r="F27" s="143"/>
      <c r="G27" s="143"/>
      <c r="H27" s="143"/>
      <c r="I27" s="143"/>
      <c r="J27" s="143"/>
      <c r="K27" s="171" t="str">
        <f>K16</f>
        <v/>
      </c>
      <c r="L27" s="213"/>
      <c r="O27" s="161"/>
      <c r="R27" s="102" t="str">
        <f>CONST_GoodToMarket&amp;G11</f>
        <v>ToMarket_</v>
      </c>
      <c r="T27" s="127" t="str">
        <f>IF($G$11="","",L27)</f>
        <v/>
      </c>
      <c r="V27" s="162" t="str">
        <f>IF(AND(G11&lt;&gt;"",L27&lt;&gt;""),TRUE,IF(AND(G11&lt;&gt;"",OR(L27="",L16&lt;&gt;"")),CONST_ErrorOrMissing&amp;C11,CONST_NA))</f>
        <v>n.a.</v>
      </c>
    </row>
    <row r="28" spans="4:24" ht="12.75" customHeight="1" x14ac:dyDescent="0.25">
      <c r="D28" s="137" t="s">
        <v>1239</v>
      </c>
      <c r="E28" s="138" t="str">
        <f>Translations!$B$249</f>
        <v>Share of total under (a) produced for the market</v>
      </c>
      <c r="F28" s="291"/>
      <c r="G28" s="291"/>
      <c r="H28" s="291"/>
      <c r="I28" s="291"/>
      <c r="J28" s="291"/>
      <c r="K28" s="291"/>
      <c r="L28" s="292" t="str">
        <f>IF(AND(COUNT(L24,L27)=2,SUM(L24&gt;0)),SUM(L27)/SUM(L24),"")</f>
        <v/>
      </c>
      <c r="T28" s="128"/>
      <c r="V28" s="173"/>
    </row>
    <row r="29" spans="4:24" ht="12.75" customHeight="1" x14ac:dyDescent="0.25">
      <c r="D29" s="137" t="s">
        <v>1240</v>
      </c>
      <c r="E29" s="141" t="str">
        <f>Translations!$B$250</f>
        <v>Total production only for the market?</v>
      </c>
      <c r="F29" s="293"/>
      <c r="G29" s="293"/>
      <c r="H29" s="293"/>
      <c r="I29" s="293"/>
      <c r="J29" s="293"/>
      <c r="K29" s="293"/>
      <c r="L29" s="294" t="str">
        <f>IF(G11="","",AND(SUM(L24)&gt;0,SUM(L24)=SUM(L27)))</f>
        <v/>
      </c>
      <c r="T29" s="128"/>
    </row>
    <row r="30" spans="4:24" ht="5.0999999999999996" customHeight="1" x14ac:dyDescent="0.25">
      <c r="D30" s="137"/>
      <c r="E30" s="98"/>
      <c r="T30" s="128"/>
    </row>
    <row r="31" spans="4:24" ht="12.75" customHeight="1" x14ac:dyDescent="0.25">
      <c r="D31" s="120" t="s">
        <v>1254</v>
      </c>
      <c r="E31" s="98" t="str">
        <f>Translations!$B$251</f>
        <v>Consumed in other 'production processes' within the installation:</v>
      </c>
      <c r="F31" s="98"/>
      <c r="G31" s="98"/>
      <c r="H31" s="98"/>
      <c r="I31" s="98"/>
      <c r="J31" s="98"/>
      <c r="K31" s="120" t="str">
        <f>Translations!$B$221</f>
        <v>Unit</v>
      </c>
      <c r="L31" s="120" t="str">
        <f>Translations!$B$245</f>
        <v>Amounts</v>
      </c>
      <c r="S31" s="126" t="s">
        <v>1332</v>
      </c>
      <c r="T31" s="128"/>
      <c r="W31" s="104" t="s">
        <v>1333</v>
      </c>
      <c r="X31" s="102" t="b">
        <f>IF(G11="",FALSE,L29)</f>
        <v>0</v>
      </c>
    </row>
    <row r="32" spans="4:24" ht="12.75" customHeight="1" x14ac:dyDescent="0.25">
      <c r="D32" s="174">
        <v>1</v>
      </c>
      <c r="E32" s="175" t="str">
        <f>IF(INDEX(CNTR_List_ExistProdProcNames,S32)=CONST_NA,"",INDEX(CNTR_List_ExistProdProcNames,S32))</f>
        <v/>
      </c>
      <c r="F32" s="176"/>
      <c r="G32" s="176"/>
      <c r="H32" s="176"/>
      <c r="I32" s="176"/>
      <c r="J32" s="177"/>
      <c r="K32" s="160" t="str">
        <f>K16</f>
        <v/>
      </c>
      <c r="L32" s="28"/>
      <c r="O32" s="161"/>
      <c r="R32" s="102" t="str">
        <f>CONST_PrecursorToGoodInput&amp;G11 &amp;"_"&amp;E32</f>
        <v>PrecToGood__</v>
      </c>
      <c r="S32" s="105">
        <f>MAX(S31:S31)+IF(D32=C11,2,1)</f>
        <v>2</v>
      </c>
      <c r="T32" s="127" t="str">
        <f>IF(G11="","",L32)</f>
        <v/>
      </c>
      <c r="V32" s="162" t="str">
        <f>IF(AND(G11&lt;&gt;"",E32&lt;&gt;"",L32&lt;&gt;""),TRUE,IF(AND(G11&lt;&gt;"",E32&lt;&gt;"",L32="",X32=FALSE),CONST_ErrorOrMissing&amp;C11,CONST_NA))</f>
        <v>n.a.</v>
      </c>
      <c r="W32" s="104" t="s">
        <v>1333</v>
      </c>
      <c r="X32" s="102" t="b">
        <f>IF(G11="",FALSE,OR(L29,E32=""))</f>
        <v>0</v>
      </c>
    </row>
    <row r="33" spans="3:24" ht="12.75" customHeight="1" x14ac:dyDescent="0.25">
      <c r="D33" s="174">
        <v>2</v>
      </c>
      <c r="E33" s="178" t="str">
        <f t="shared" ref="E33:E40" si="2">IF(INDEX(CNTR_ListProdProcNames,S33)="","",INDEX(CNTR_ListProdProcNames,S33))</f>
        <v/>
      </c>
      <c r="F33" s="179"/>
      <c r="G33" s="179"/>
      <c r="H33" s="179"/>
      <c r="I33" s="179"/>
      <c r="J33" s="180"/>
      <c r="K33" s="165" t="str">
        <f>K32</f>
        <v/>
      </c>
      <c r="L33" s="29"/>
      <c r="O33" s="161"/>
      <c r="R33" s="102" t="str">
        <f>CONST_PrecursorToGoodInput&amp;G11 &amp;"_"&amp;E33</f>
        <v>PrecToGood__</v>
      </c>
      <c r="S33" s="105">
        <f>MAX(S31:S32)+IF(D33=C11,2,1)</f>
        <v>3</v>
      </c>
      <c r="T33" s="127" t="str">
        <f>IF(G11="","",L33)</f>
        <v/>
      </c>
      <c r="V33" s="162" t="str">
        <f>IF(AND(G11&lt;&gt;"",E33&lt;&gt;"",L33&lt;&gt;""),TRUE,IF(AND(G11&lt;&gt;"",E33&lt;&gt;"",L33="",X33=FALSE),CONST_ErrorOrMissing&amp;C11,CONST_NA))</f>
        <v>n.a.</v>
      </c>
      <c r="X33" s="102" t="b">
        <f>IF(G11="",FALSE,OR(L29,E33=""))</f>
        <v>0</v>
      </c>
    </row>
    <row r="34" spans="3:24" ht="12.75" customHeight="1" x14ac:dyDescent="0.25">
      <c r="D34" s="174">
        <v>3</v>
      </c>
      <c r="E34" s="178" t="str">
        <f t="shared" si="2"/>
        <v/>
      </c>
      <c r="F34" s="179"/>
      <c r="G34" s="179"/>
      <c r="H34" s="179"/>
      <c r="I34" s="179"/>
      <c r="J34" s="180"/>
      <c r="K34" s="165" t="str">
        <f t="shared" ref="K34:K42" si="3">K33</f>
        <v/>
      </c>
      <c r="L34" s="29"/>
      <c r="O34" s="161"/>
      <c r="R34" s="102" t="str">
        <f>CONST_PrecursorToGoodInput&amp;G11 &amp;"_"&amp;E34</f>
        <v>PrecToGood__</v>
      </c>
      <c r="S34" s="105">
        <f>MAX(S31:S33)+IF(D34=C11,2,1)</f>
        <v>4</v>
      </c>
      <c r="T34" s="127" t="str">
        <f>IF(G11="","",L34)</f>
        <v/>
      </c>
      <c r="V34" s="162" t="str">
        <f>IF(AND(G11&lt;&gt;"",E34&lt;&gt;"",L34&lt;&gt;""),TRUE,IF(AND(G11&lt;&gt;"",E34&lt;&gt;"",L34="",X34=FALSE),CONST_ErrorOrMissing&amp;C11,CONST_NA))</f>
        <v>n.a.</v>
      </c>
      <c r="X34" s="102" t="b">
        <f>IF(G11="",FALSE,OR(L29,E34=""))</f>
        <v>0</v>
      </c>
    </row>
    <row r="35" spans="3:24" ht="12.75" customHeight="1" x14ac:dyDescent="0.25">
      <c r="D35" s="174">
        <v>4</v>
      </c>
      <c r="E35" s="178" t="str">
        <f t="shared" si="2"/>
        <v/>
      </c>
      <c r="F35" s="179"/>
      <c r="G35" s="179"/>
      <c r="H35" s="179"/>
      <c r="I35" s="179"/>
      <c r="J35" s="180"/>
      <c r="K35" s="165" t="str">
        <f t="shared" si="3"/>
        <v/>
      </c>
      <c r="L35" s="29"/>
      <c r="O35" s="161"/>
      <c r="R35" s="102" t="str">
        <f>CONST_PrecursorToGoodInput&amp;G11 &amp;"_"&amp;E35</f>
        <v>PrecToGood__</v>
      </c>
      <c r="S35" s="105">
        <f>MAX(S31:S34)+IF(D35=C11,2,1)</f>
        <v>5</v>
      </c>
      <c r="T35" s="127" t="str">
        <f>IF(G11="","",L35)</f>
        <v/>
      </c>
      <c r="V35" s="162" t="str">
        <f>IF(AND(G11&lt;&gt;"",E35&lt;&gt;"",L35&lt;&gt;""),TRUE,IF(AND(G11&lt;&gt;"",E35&lt;&gt;"",L35="",X35=FALSE),CONST_ErrorOrMissing&amp;C11,CONST_NA))</f>
        <v>n.a.</v>
      </c>
      <c r="X35" s="102" t="b">
        <f>IF(G11="",FALSE,OR(L29,E35=""))</f>
        <v>0</v>
      </c>
    </row>
    <row r="36" spans="3:24" ht="12.75" customHeight="1" x14ac:dyDescent="0.25">
      <c r="D36" s="174">
        <v>5</v>
      </c>
      <c r="E36" s="181" t="str">
        <f t="shared" si="2"/>
        <v/>
      </c>
      <c r="F36" s="182"/>
      <c r="G36" s="182"/>
      <c r="H36" s="182"/>
      <c r="I36" s="182"/>
      <c r="J36" s="183"/>
      <c r="K36" s="184" t="str">
        <f t="shared" si="3"/>
        <v/>
      </c>
      <c r="L36" s="214"/>
      <c r="O36" s="161"/>
      <c r="R36" s="102" t="str">
        <f>CONST_PrecursorToGoodInput&amp;G11 &amp;"_"&amp;E36</f>
        <v>PrecToGood__</v>
      </c>
      <c r="S36" s="105">
        <f>MAX(S31:S35)+IF(D36=C11,2,1)</f>
        <v>6</v>
      </c>
      <c r="T36" s="127" t="str">
        <f>IF(G11="","",L36)</f>
        <v/>
      </c>
      <c r="V36" s="162" t="str">
        <f>IF(AND(G11&lt;&gt;"",E36&lt;&gt;"",L36&lt;&gt;""),TRUE,IF(AND(G11&lt;&gt;"",E36&lt;&gt;"",L36="",X36=FALSE),CONST_ErrorOrMissing&amp;C11,CONST_NA))</f>
        <v>n.a.</v>
      </c>
      <c r="X36" s="102" t="b">
        <f>IF(G11="",FALSE,OR(L29,E36=""))</f>
        <v>0</v>
      </c>
    </row>
    <row r="37" spans="3:24" ht="12.75" customHeight="1" x14ac:dyDescent="0.25">
      <c r="D37" s="174">
        <v>6</v>
      </c>
      <c r="E37" s="181" t="str">
        <f t="shared" si="2"/>
        <v/>
      </c>
      <c r="F37" s="182"/>
      <c r="G37" s="182"/>
      <c r="H37" s="182"/>
      <c r="I37" s="182"/>
      <c r="J37" s="183"/>
      <c r="K37" s="184" t="str">
        <f t="shared" si="3"/>
        <v/>
      </c>
      <c r="L37" s="214"/>
      <c r="O37" s="161"/>
      <c r="R37" s="102" t="str">
        <f>CONST_PrecursorToGoodInput&amp;G11 &amp;"_"&amp;E37</f>
        <v>PrecToGood__</v>
      </c>
      <c r="S37" s="105">
        <f>MAX(S31:S36)+IF(D37=C11,2,1)</f>
        <v>7</v>
      </c>
      <c r="T37" s="127" t="str">
        <f>IF(G11="","",L37)</f>
        <v/>
      </c>
      <c r="V37" s="162" t="str">
        <f>IF(AND(G11&lt;&gt;"",E37&lt;&gt;"",L37&lt;&gt;""),TRUE,IF(AND(G11&lt;&gt;"",E37&lt;&gt;"",L37="",X37=FALSE),CONST_ErrorOrMissing&amp;C11,CONST_NA))</f>
        <v>n.a.</v>
      </c>
      <c r="X37" s="102" t="b">
        <f>IF(G11="",FALSE,OR(L29,E37=""))</f>
        <v>0</v>
      </c>
    </row>
    <row r="38" spans="3:24" ht="12.75" customHeight="1" x14ac:dyDescent="0.25">
      <c r="D38" s="174">
        <v>7</v>
      </c>
      <c r="E38" s="181" t="str">
        <f t="shared" si="2"/>
        <v/>
      </c>
      <c r="F38" s="182"/>
      <c r="G38" s="182"/>
      <c r="H38" s="182"/>
      <c r="I38" s="182"/>
      <c r="J38" s="183"/>
      <c r="K38" s="184" t="str">
        <f t="shared" si="3"/>
        <v/>
      </c>
      <c r="L38" s="214"/>
      <c r="O38" s="161"/>
      <c r="R38" s="102" t="str">
        <f>CONST_PrecursorToGoodInput&amp;G11 &amp;"_"&amp;E38</f>
        <v>PrecToGood__</v>
      </c>
      <c r="S38" s="105">
        <f>MAX(S31:S37)+IF(D38=C11,2,1)</f>
        <v>8</v>
      </c>
      <c r="T38" s="127" t="str">
        <f>IF(G11="","",L38)</f>
        <v/>
      </c>
      <c r="V38" s="162" t="str">
        <f>IF(AND(G11&lt;&gt;"",E38&lt;&gt;"",L38&lt;&gt;""),TRUE,IF(AND(G11&lt;&gt;"",E38&lt;&gt;"",L38="",X38=FALSE),CONST_ErrorOrMissing&amp;C11,CONST_NA))</f>
        <v>n.a.</v>
      </c>
      <c r="X38" s="102" t="b">
        <f>IF(G11="",FALSE,OR(L29,E38=""))</f>
        <v>0</v>
      </c>
    </row>
    <row r="39" spans="3:24" ht="12.75" customHeight="1" x14ac:dyDescent="0.25">
      <c r="D39" s="174">
        <v>8</v>
      </c>
      <c r="E39" s="181" t="str">
        <f t="shared" si="2"/>
        <v/>
      </c>
      <c r="F39" s="182"/>
      <c r="G39" s="182"/>
      <c r="H39" s="182"/>
      <c r="I39" s="182"/>
      <c r="J39" s="183"/>
      <c r="K39" s="184" t="str">
        <f t="shared" si="3"/>
        <v/>
      </c>
      <c r="L39" s="214"/>
      <c r="O39" s="161"/>
      <c r="R39" s="102" t="str">
        <f>CONST_PrecursorToGoodInput&amp;G11 &amp;"_"&amp;E39</f>
        <v>PrecToGood__</v>
      </c>
      <c r="S39" s="105">
        <f>MAX(S31:S38)+IF(D39=C11,2,1)</f>
        <v>9</v>
      </c>
      <c r="T39" s="127" t="str">
        <f>IF(G11="","",L39)</f>
        <v/>
      </c>
      <c r="V39" s="162" t="str">
        <f>IF(AND(G11&lt;&gt;"",E39&lt;&gt;"",L39&lt;&gt;""),TRUE,IF(AND(G11&lt;&gt;"",E39&lt;&gt;"",L39="",X39=FALSE),CONST_ErrorOrMissing&amp;C11,CONST_NA))</f>
        <v>n.a.</v>
      </c>
      <c r="X39" s="102" t="b">
        <f>IF(G11="",FALSE,OR(L29,E39=""))</f>
        <v>0</v>
      </c>
    </row>
    <row r="40" spans="3:24" ht="12.75" customHeight="1" x14ac:dyDescent="0.25">
      <c r="D40" s="174">
        <v>9</v>
      </c>
      <c r="E40" s="185" t="str">
        <f t="shared" si="2"/>
        <v/>
      </c>
      <c r="F40" s="186"/>
      <c r="G40" s="186"/>
      <c r="H40" s="186"/>
      <c r="I40" s="186"/>
      <c r="J40" s="187"/>
      <c r="K40" s="168" t="str">
        <f t="shared" si="3"/>
        <v/>
      </c>
      <c r="L40" s="30"/>
      <c r="O40" s="161"/>
      <c r="R40" s="102" t="str">
        <f>CONST_PrecursorToGoodInput&amp;G11 &amp;"_"&amp;E40</f>
        <v>PrecToGood__</v>
      </c>
      <c r="S40" s="105">
        <f>MAX(S31:S39)+IF(D40=C11,2,1)</f>
        <v>10</v>
      </c>
      <c r="T40" s="127" t="str">
        <f>IF(G11="","",L40)</f>
        <v/>
      </c>
      <c r="V40" s="162" t="str">
        <f>IF(AND(G11&lt;&gt;"",E40&lt;&gt;"",L40&lt;&gt;""),TRUE,IF(AND(G11&lt;&gt;"",E40&lt;&gt;"",L40="",X40=FALSE),CONST_ErrorOrMissing&amp;C11,CONST_NA))</f>
        <v>n.a.</v>
      </c>
      <c r="X40" s="102" t="b">
        <f>IF(G11="",FALSE,OR(L29,E40=""))</f>
        <v>0</v>
      </c>
    </row>
    <row r="41" spans="3:24" ht="12.75" customHeight="1" x14ac:dyDescent="0.25">
      <c r="D41" s="120" t="s">
        <v>1334</v>
      </c>
      <c r="E41" s="98" t="str">
        <f>Translations!$B$252</f>
        <v>Consumed for non-CBAM goods within the installation:</v>
      </c>
      <c r="F41" s="98"/>
      <c r="G41" s="98"/>
      <c r="H41" s="98"/>
      <c r="I41" s="98"/>
      <c r="J41" s="98"/>
      <c r="K41" s="300" t="str">
        <f t="shared" si="3"/>
        <v/>
      </c>
      <c r="L41" s="301"/>
      <c r="O41" s="161"/>
      <c r="T41" s="128"/>
      <c r="V41" s="162" t="str">
        <f>IF(AND(G11&lt;&gt;"",L41&lt;&gt;""),TRUE,IF(AND(G11&lt;&gt;"",L41="",X41=FALSE),CONST_ErrorOrMissing&amp;C11,CONST_NA))</f>
        <v>n.a.</v>
      </c>
      <c r="W41" s="104" t="s">
        <v>1333</v>
      </c>
      <c r="X41" s="102" t="b">
        <f>IF(G11="",FALSE,L29)</f>
        <v>0</v>
      </c>
    </row>
    <row r="42" spans="3:24" ht="12.75" customHeight="1" x14ac:dyDescent="0.25">
      <c r="D42" s="120" t="s">
        <v>1335</v>
      </c>
      <c r="E42" s="143" t="str">
        <f>Translations!$B$253</f>
        <v>Control:</v>
      </c>
      <c r="F42" s="172"/>
      <c r="G42" s="172"/>
      <c r="H42" s="172"/>
      <c r="I42" s="172"/>
      <c r="J42" s="172"/>
      <c r="K42" s="171" t="str">
        <f t="shared" si="3"/>
        <v/>
      </c>
      <c r="L42" s="121" t="str">
        <f>IF(G11="","",SUM(L24)-SUM(L27,L32:L41))</f>
        <v/>
      </c>
      <c r="O42" s="161"/>
      <c r="T42" s="128"/>
      <c r="V42" s="162" t="str">
        <f>IF(AND(G11&lt;&gt;"",L42=0),TRUE,IF(AND(G11&lt;&gt;"",L42&lt;&gt;0,X42=FALSE),CONST_ErrorOrMissing&amp;C11,CONST_NA))</f>
        <v>n.a.</v>
      </c>
      <c r="X42" s="102" t="b">
        <f>IF(G11="",FALSE,L29)</f>
        <v>0</v>
      </c>
    </row>
    <row r="43" spans="3:24" ht="12.75" customHeight="1" thickBot="1" x14ac:dyDescent="0.3">
      <c r="T43" s="128"/>
    </row>
    <row r="44" spans="3:24" ht="12.75" customHeight="1" x14ac:dyDescent="0.25">
      <c r="C44" s="188"/>
      <c r="D44" s="189"/>
      <c r="E44" s="190"/>
      <c r="F44" s="191"/>
      <c r="G44" s="191"/>
      <c r="H44" s="191"/>
      <c r="I44" s="191"/>
      <c r="J44" s="191"/>
      <c r="K44" s="191"/>
      <c r="L44" s="191"/>
      <c r="M44" s="191"/>
      <c r="N44" s="192"/>
      <c r="T44" s="128"/>
    </row>
    <row r="45" spans="3:24" ht="15" customHeight="1" x14ac:dyDescent="0.25">
      <c r="C45" s="193"/>
      <c r="D45" s="194" t="str">
        <f>Translations!$B$254</f>
        <v>Calculation of the attributed emissions:</v>
      </c>
      <c r="E45" s="195"/>
      <c r="F45" s="196"/>
      <c r="G45" s="196"/>
      <c r="H45" s="196"/>
      <c r="I45" s="196"/>
      <c r="J45" s="1190" t="str">
        <f>IF(G11="","",G11)</f>
        <v/>
      </c>
      <c r="K45" s="1190"/>
      <c r="L45" s="1190"/>
      <c r="M45" s="1190"/>
      <c r="N45" s="197"/>
      <c r="T45" s="128"/>
    </row>
    <row r="46" spans="3:24" ht="5.0999999999999996" customHeight="1" x14ac:dyDescent="0.25">
      <c r="C46" s="193"/>
      <c r="D46" s="198"/>
      <c r="E46" s="199"/>
      <c r="F46" s="196"/>
      <c r="G46" s="196"/>
      <c r="H46" s="196"/>
      <c r="I46" s="196"/>
      <c r="J46" s="196"/>
      <c r="K46" s="196"/>
      <c r="L46" s="196"/>
      <c r="M46" s="196"/>
      <c r="N46" s="197"/>
      <c r="T46" s="128"/>
    </row>
    <row r="47" spans="3:24" ht="12.75" customHeight="1" x14ac:dyDescent="0.25">
      <c r="C47" s="193"/>
      <c r="D47" s="200"/>
      <c r="E47" s="1172" t="str">
        <f ca="1">HYPERLINK("#"&amp;ADDRESS(MATCH($S47,G_FurtherGuidance!$S:$S,0),3,,,G_FurtherGuidance!$U$2),CONST_LinkToGuidanceSheet)</f>
        <v>Please click on this link for further guidance on how to complete this section.</v>
      </c>
      <c r="F47" s="1172"/>
      <c r="G47" s="1172"/>
      <c r="H47" s="1172"/>
      <c r="I47" s="1172"/>
      <c r="J47" s="1172"/>
      <c r="K47" s="1172"/>
      <c r="L47" s="1172"/>
      <c r="M47" s="1172"/>
      <c r="N47" s="203"/>
      <c r="R47" s="104" t="s">
        <v>1320</v>
      </c>
      <c r="S47" s="105">
        <v>3</v>
      </c>
      <c r="T47" s="128"/>
    </row>
    <row r="48" spans="3:24" ht="5.0999999999999996" customHeight="1" x14ac:dyDescent="0.25">
      <c r="C48" s="193"/>
      <c r="D48" s="198"/>
      <c r="E48" s="199"/>
      <c r="F48" s="196"/>
      <c r="G48" s="196"/>
      <c r="H48" s="196"/>
      <c r="I48" s="196"/>
      <c r="J48" s="199"/>
      <c r="K48" s="196"/>
      <c r="L48" s="196"/>
      <c r="M48" s="196"/>
      <c r="N48" s="197"/>
      <c r="T48" s="128"/>
      <c r="X48" s="104"/>
    </row>
    <row r="49" spans="3:24" ht="24.9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x14ac:dyDescent="0.25">
      <c r="C50" s="193"/>
      <c r="D50" s="200" t="s">
        <v>1336</v>
      </c>
      <c r="E50" s="201" t="str">
        <f>Translations!$B$258</f>
        <v>Please select which elements are applicable</v>
      </c>
      <c r="F50" s="202"/>
      <c r="G50" s="202"/>
      <c r="H50" s="202"/>
      <c r="I50" s="202"/>
      <c r="J50" s="202"/>
      <c r="K50" s="123"/>
      <c r="L50" s="123"/>
      <c r="M50" s="171" t="str">
        <f>IF(L11="","",INDEX(CONST_LIST_GoodsIndRel,MATCH(L11,CONST_LIST_Goods,0)))</f>
        <v/>
      </c>
      <c r="N50" s="197"/>
      <c r="O50" s="161"/>
      <c r="T50" s="128"/>
      <c r="V50" s="162" t="str">
        <f>IF(AND(L11&lt;&gt;"",X50=FALSE),IF(COUNTA(K50:L50)=2,TRUE,CONST_ErrorOrMissing&amp;C11),CONST_NA)</f>
        <v>n.a.</v>
      </c>
      <c r="X50" s="104"/>
    </row>
    <row r="51" spans="3:24" ht="12.75" customHeight="1" x14ac:dyDescent="0.25">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x14ac:dyDescent="0.25">
      <c r="C52" s="193"/>
      <c r="D52" s="205"/>
      <c r="E52" s="199"/>
      <c r="F52" s="196"/>
      <c r="G52" s="196"/>
      <c r="H52" s="196"/>
      <c r="I52" s="196"/>
      <c r="J52" s="196"/>
      <c r="K52" s="199"/>
      <c r="L52" s="196"/>
      <c r="M52" s="196"/>
      <c r="N52" s="197"/>
      <c r="T52" s="128"/>
      <c r="X52" s="104"/>
    </row>
    <row r="53" spans="3:24" ht="12.75" customHeight="1" x14ac:dyDescent="0.25">
      <c r="C53" s="193"/>
      <c r="D53" s="205"/>
      <c r="E53" s="199"/>
      <c r="F53" s="196"/>
      <c r="G53" s="196"/>
      <c r="H53" s="196"/>
      <c r="I53" s="196"/>
      <c r="J53" s="196"/>
      <c r="K53" s="200" t="str">
        <f>Translations!$B$221</f>
        <v>Unit</v>
      </c>
      <c r="L53" s="200" t="str">
        <f>Translations!$B$260</f>
        <v>Value</v>
      </c>
      <c r="M53" s="196"/>
      <c r="N53" s="197"/>
      <c r="T53" s="128"/>
      <c r="X53" s="104"/>
    </row>
    <row r="54" spans="3:24" ht="12.75" customHeight="1" x14ac:dyDescent="0.25">
      <c r="C54" s="193"/>
      <c r="D54" s="200" t="s">
        <v>1337</v>
      </c>
      <c r="E54" s="201" t="str">
        <f>Translations!$B$261</f>
        <v>Directly attributable emissions (DirEm*)</v>
      </c>
      <c r="F54" s="202"/>
      <c r="G54" s="202"/>
      <c r="H54" s="202"/>
      <c r="I54" s="202"/>
      <c r="J54" s="202"/>
      <c r="K54" s="206" t="str">
        <f>CONST_tCO2eq</f>
        <v>tCO2e</v>
      </c>
      <c r="L54" s="215"/>
      <c r="M54" s="196"/>
      <c r="N54" s="197"/>
      <c r="O54" s="161"/>
      <c r="R54" s="102" t="str">
        <f>CONST_EmDir&amp;G11</f>
        <v>EmDir_</v>
      </c>
      <c r="S54" s="102" t="str">
        <f>CONST_CNTR_EmbedEmDir&amp;G11</f>
        <v>EmbedEmDir_</v>
      </c>
      <c r="T54" s="127" t="str">
        <f>IF(G11="","",L54)</f>
        <v/>
      </c>
      <c r="V54" s="162" t="str">
        <f>IF(L11&lt;&gt;"",IF(L54&lt;&gt;"",TRUE,CONST_ErrorOrMissing&amp;C11),CONST_NA)</f>
        <v>n.a.</v>
      </c>
      <c r="X54" s="104"/>
    </row>
    <row r="55" spans="3:24" ht="5.0999999999999996" customHeight="1" x14ac:dyDescent="0.25">
      <c r="C55" s="193"/>
      <c r="D55" s="205"/>
      <c r="E55" s="199"/>
      <c r="F55" s="196"/>
      <c r="G55" s="196"/>
      <c r="H55" s="196"/>
      <c r="I55" s="196"/>
      <c r="J55" s="196"/>
      <c r="K55" s="196"/>
      <c r="L55" s="200"/>
      <c r="M55" s="200"/>
      <c r="N55" s="197"/>
      <c r="T55" s="128"/>
    </row>
    <row r="56" spans="3:24" ht="12.75" customHeight="1" x14ac:dyDescent="0.25">
      <c r="C56" s="193"/>
      <c r="D56" s="200" t="s">
        <v>1338</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1333</v>
      </c>
      <c r="X56" s="102" t="b">
        <f>AND(K50&lt;&gt;"",K50=FALSE)</f>
        <v>0</v>
      </c>
    </row>
    <row r="57" spans="3:24" ht="12.75" customHeight="1" x14ac:dyDescent="0.25">
      <c r="C57" s="193"/>
      <c r="D57" s="198" t="s">
        <v>1238</v>
      </c>
      <c r="E57" s="202" t="str">
        <f>Translations!$B$265</f>
        <v>Amount of net measurable heat</v>
      </c>
      <c r="F57" s="202"/>
      <c r="G57" s="202"/>
      <c r="H57" s="202"/>
      <c r="I57" s="202"/>
      <c r="J57" s="202"/>
      <c r="K57" s="207" t="s">
        <v>444</v>
      </c>
      <c r="L57" s="215"/>
      <c r="M57" s="215"/>
      <c r="N57" s="197"/>
      <c r="O57" s="161"/>
      <c r="T57" s="128"/>
      <c r="V57" s="162" t="str">
        <f>IF(AND(L11&lt;&gt;"",X57=FALSE),IF(COUNTA(L57:M57)=2,TRUE,CONST_ErrorOrMissing&amp;C11),CONST_NA)</f>
        <v>n.a.</v>
      </c>
      <c r="X57" s="102" t="b">
        <f>X56</f>
        <v>0</v>
      </c>
    </row>
    <row r="58" spans="3:24" ht="12.75" customHeight="1" x14ac:dyDescent="0.25">
      <c r="C58" s="193"/>
      <c r="D58" s="198" t="s">
        <v>1239</v>
      </c>
      <c r="E58" s="202" t="str">
        <f>Translations!$B$266</f>
        <v>Emissions factor</v>
      </c>
      <c r="F58" s="202"/>
      <c r="G58" s="202"/>
      <c r="H58" s="202"/>
      <c r="I58" s="202"/>
      <c r="J58" s="202"/>
      <c r="K58" s="207" t="str">
        <f>CONST_tCO2pTJ</f>
        <v>tCO2/TJ</v>
      </c>
      <c r="L58" s="216"/>
      <c r="M58" s="216"/>
      <c r="N58" s="197"/>
      <c r="O58" s="161"/>
      <c r="R58" s="102" t="str">
        <f>CONST_EmDirHeat&amp;G11</f>
        <v>EmDirHeat_</v>
      </c>
      <c r="S58" s="102" t="str">
        <f>CONST_CNTR_EmbedEmDir&amp;G11</f>
        <v>EmbedEmDir_</v>
      </c>
      <c r="T58" s="127" t="str">
        <f>IF(G11="","",SUM(L57*L58-M57*M58))</f>
        <v/>
      </c>
      <c r="V58" s="162" t="str">
        <f>IF(AND(L11&lt;&gt;"",X58=FALSE),IF(COUNTA(L58:M58)=2,TRUE,CONST_ErrorOrMissing&amp;C11),CONST_NA)</f>
        <v>n.a.</v>
      </c>
      <c r="X58" s="102" t="b">
        <f>X57</f>
        <v>0</v>
      </c>
    </row>
    <row r="59" spans="3:24" ht="5.0999999999999996" customHeight="1" x14ac:dyDescent="0.25">
      <c r="C59" s="193"/>
      <c r="D59" s="205"/>
      <c r="E59" s="199"/>
      <c r="F59" s="196"/>
      <c r="G59" s="196"/>
      <c r="H59" s="196"/>
      <c r="I59" s="196"/>
      <c r="J59" s="196"/>
      <c r="K59" s="196"/>
      <c r="L59" s="200"/>
      <c r="M59" s="200"/>
      <c r="N59" s="197"/>
      <c r="T59" s="128"/>
    </row>
    <row r="60" spans="3:24" ht="12.75" customHeight="1" x14ac:dyDescent="0.25">
      <c r="C60" s="193"/>
      <c r="D60" s="200" t="s">
        <v>1339</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1333</v>
      </c>
      <c r="X60" s="102" t="b">
        <f>AND(L50&lt;&gt;"",L50=FALSE)</f>
        <v>0</v>
      </c>
    </row>
    <row r="61" spans="3:24" ht="12.75" customHeight="1" x14ac:dyDescent="0.25">
      <c r="C61" s="193"/>
      <c r="D61" s="198" t="s">
        <v>1238</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0</v>
      </c>
    </row>
    <row r="62" spans="3:24" ht="12.75" customHeight="1" x14ac:dyDescent="0.25">
      <c r="C62" s="193"/>
      <c r="D62" s="198" t="s">
        <v>1239</v>
      </c>
      <c r="E62" s="202" t="str">
        <f>Translations!$B$268</f>
        <v>Emission factor</v>
      </c>
      <c r="F62" s="202"/>
      <c r="G62" s="202"/>
      <c r="H62" s="202"/>
      <c r="I62" s="202"/>
      <c r="J62" s="202"/>
      <c r="K62" s="207" t="str">
        <f>CONST_tCO2pTJ</f>
        <v>tCO2/TJ</v>
      </c>
      <c r="L62" s="303"/>
      <c r="M62" s="303"/>
      <c r="N62" s="197"/>
      <c r="R62" s="102" t="str">
        <f>CONST_EmDirWasteGases&amp;G11</f>
        <v>EmDirWG_</v>
      </c>
      <c r="S62" s="102" t="str">
        <f>CONST_CNTR_EmbedEmDir&amp;G11</f>
        <v>EmbedEmDir_</v>
      </c>
      <c r="T62" s="127" t="str">
        <f>IF(G11="","",SUM(L61*CONST_EFNatGas-M61*CONST_EFNatGas*0.667))</f>
        <v/>
      </c>
      <c r="X62" s="102" t="b">
        <f>X61</f>
        <v>0</v>
      </c>
    </row>
    <row r="63" spans="3:24" ht="5.0999999999999996" customHeight="1" x14ac:dyDescent="0.25">
      <c r="C63" s="193"/>
      <c r="D63" s="205"/>
      <c r="E63" s="199"/>
      <c r="F63" s="196"/>
      <c r="G63" s="196"/>
      <c r="H63" s="196"/>
      <c r="I63" s="196"/>
      <c r="J63" s="196"/>
      <c r="K63" s="196"/>
      <c r="L63" s="196"/>
      <c r="M63" s="196"/>
      <c r="N63" s="197"/>
      <c r="T63" s="128"/>
    </row>
    <row r="64" spans="3:24" ht="12.75" customHeight="1" x14ac:dyDescent="0.25">
      <c r="C64" s="193"/>
      <c r="D64" s="200" t="s">
        <v>1340</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1333</v>
      </c>
      <c r="X64" s="102" t="b">
        <f>M50=FALSE</f>
        <v>0</v>
      </c>
    </row>
    <row r="65" spans="2:24" ht="12.75" customHeight="1" x14ac:dyDescent="0.25">
      <c r="C65" s="193"/>
      <c r="D65" s="198" t="s">
        <v>1238</v>
      </c>
      <c r="E65" s="202" t="str">
        <f>Translations!$B$270</f>
        <v>Electricity consumption</v>
      </c>
      <c r="F65" s="202"/>
      <c r="G65" s="202"/>
      <c r="H65" s="202"/>
      <c r="I65" s="202"/>
      <c r="J65" s="202"/>
      <c r="K65" s="207" t="str">
        <f>CONST_MWh</f>
        <v>MWh</v>
      </c>
      <c r="L65" s="215"/>
      <c r="M65" s="196"/>
      <c r="N65" s="197"/>
      <c r="O65" s="161"/>
      <c r="R65" s="102" t="str">
        <f>CONST_ElecConsumption&amp;G11</f>
        <v>ElecCons_</v>
      </c>
      <c r="T65" s="127" t="str">
        <f>IF(G11="","",L65)</f>
        <v/>
      </c>
      <c r="V65" s="162" t="str">
        <f>IF(AND(L11&lt;&gt;"",X65=FALSE),IF(L65&lt;&gt;"",TRUE,CONST_ErrorOrMissing&amp;C11),CONST_NA)</f>
        <v>n.a.</v>
      </c>
      <c r="X65" s="102" t="b">
        <f>X64</f>
        <v>0</v>
      </c>
    </row>
    <row r="66" spans="2:24" ht="12.75" customHeight="1" x14ac:dyDescent="0.25">
      <c r="C66" s="193"/>
      <c r="D66" s="198" t="s">
        <v>1239</v>
      </c>
      <c r="E66" s="202" t="str">
        <f>Translations!$B$271</f>
        <v>Emission factor of the electricity</v>
      </c>
      <c r="F66" s="202"/>
      <c r="G66" s="202"/>
      <c r="H66" s="202"/>
      <c r="I66" s="202"/>
      <c r="J66" s="202"/>
      <c r="K66" s="207" t="str">
        <f>CONST_tCO2&amp;"/"&amp;CONST_MWh</f>
        <v>tCO2/MWh</v>
      </c>
      <c r="L66" s="217"/>
      <c r="M66" s="196"/>
      <c r="N66" s="197"/>
      <c r="O66" s="161"/>
      <c r="S66" s="102" t="str">
        <f>CONST_CNTR_EmbedEmInDir&amp;G11</f>
        <v>EmbedEmInDir_</v>
      </c>
      <c r="T66" s="127" t="str">
        <f>IF(G11="","",SUM(L65)*SUM(L66))</f>
        <v/>
      </c>
      <c r="V66" s="162" t="str">
        <f>IF(AND(L11&lt;&gt;"",X66=FALSE),IF(L66&lt;&gt;"",TRUE,CONST_ErrorOrMissing&amp;C11),CONST_NA)</f>
        <v>n.a.</v>
      </c>
      <c r="X66" s="102" t="b">
        <f>X65</f>
        <v>0</v>
      </c>
    </row>
    <row r="67" spans="2:24" ht="12.75" customHeight="1" x14ac:dyDescent="0.25">
      <c r="C67" s="193"/>
      <c r="D67" s="198" t="s">
        <v>1240</v>
      </c>
      <c r="E67" s="202" t="str">
        <f>Translations!$B$272</f>
        <v>Source of the emission factor</v>
      </c>
      <c r="F67" s="202"/>
      <c r="G67" s="202"/>
      <c r="H67" s="202"/>
      <c r="I67" s="202"/>
      <c r="J67" s="202"/>
      <c r="K67" s="302" t="s">
        <v>1329</v>
      </c>
      <c r="L67" s="217"/>
      <c r="M67" s="196"/>
      <c r="N67" s="197"/>
      <c r="O67" s="161"/>
      <c r="R67" s="102" t="str">
        <f>CONST_CNTR_ElecEFMethod&amp;G11</f>
        <v>ElecEFMeth_</v>
      </c>
      <c r="T67" s="870" t="str">
        <f>IF(L67="","",L67)</f>
        <v/>
      </c>
      <c r="V67" s="162" t="str">
        <f>IF(AND(L11&lt;&gt;"",X67=FALSE),IF(L67&lt;&gt;"",TRUE,CONST_ErrorOrMissing&amp;C11),CONST_NA)</f>
        <v>n.a.</v>
      </c>
      <c r="X67" s="102" t="b">
        <f>X66</f>
        <v>0</v>
      </c>
    </row>
    <row r="68" spans="2:24" ht="5.0999999999999996" customHeight="1" x14ac:dyDescent="0.25">
      <c r="C68" s="193"/>
      <c r="D68" s="205"/>
      <c r="E68" s="199"/>
      <c r="F68" s="196"/>
      <c r="G68" s="196"/>
      <c r="H68" s="196"/>
      <c r="I68" s="196"/>
      <c r="J68" s="196"/>
      <c r="K68" s="196"/>
      <c r="L68" s="196"/>
      <c r="M68" s="196"/>
      <c r="N68" s="197"/>
      <c r="T68" s="128"/>
    </row>
    <row r="69" spans="2:24" ht="12.75" customHeight="1" x14ac:dyDescent="0.25">
      <c r="C69" s="193"/>
      <c r="D69" s="205"/>
      <c r="E69" s="199"/>
      <c r="F69" s="196"/>
      <c r="G69" s="196"/>
      <c r="H69" s="196"/>
      <c r="I69" s="196"/>
      <c r="J69" s="196"/>
      <c r="K69" s="196"/>
      <c r="L69" s="196"/>
      <c r="M69" s="196"/>
      <c r="N69" s="197"/>
      <c r="T69" s="128"/>
    </row>
    <row r="70" spans="2:24" ht="12.75" customHeight="1" x14ac:dyDescent="0.25">
      <c r="C70" s="193"/>
      <c r="D70" s="200" t="s">
        <v>1341</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x14ac:dyDescent="0.25">
      <c r="C71" s="193"/>
      <c r="D71" s="198" t="s">
        <v>1238</v>
      </c>
      <c r="E71" s="202" t="str">
        <f>Translations!$B$274</f>
        <v>Amounts exported</v>
      </c>
      <c r="F71" s="202"/>
      <c r="G71" s="202"/>
      <c r="H71" s="202"/>
      <c r="I71" s="202"/>
      <c r="J71" s="202"/>
      <c r="K71" s="207" t="s">
        <v>1342</v>
      </c>
      <c r="L71" s="215"/>
      <c r="M71" s="196"/>
      <c r="N71" s="197"/>
      <c r="O71" s="161"/>
      <c r="T71" s="128"/>
      <c r="V71" s="162" t="str">
        <f>IF(L11&lt;&gt;"",IF(L71&lt;&gt;"",TRUE,CONST_ErrorOrMissing&amp;C11),CONST_NA)</f>
        <v>n.a.</v>
      </c>
    </row>
    <row r="72" spans="2:24" ht="12.75" customHeight="1" x14ac:dyDescent="0.25">
      <c r="C72" s="193"/>
      <c r="D72" s="198" t="s">
        <v>1239</v>
      </c>
      <c r="E72" s="202" t="str">
        <f>Translations!$B$271</f>
        <v>Emission factor of the electricity</v>
      </c>
      <c r="F72" s="202"/>
      <c r="G72" s="202"/>
      <c r="H72" s="202"/>
      <c r="I72" s="202"/>
      <c r="J72" s="202"/>
      <c r="K72" s="207" t="str">
        <f>CONST_tCO2&amp;"/"&amp;CONST_MWh</f>
        <v>tCO2/MWh</v>
      </c>
      <c r="L72" s="217"/>
      <c r="M72" s="196"/>
      <c r="N72" s="197"/>
      <c r="O72" s="161"/>
      <c r="S72" s="102" t="str">
        <f>CONST_CNTR_EmbedEmDir&amp;G11</f>
        <v>EmbedEmDir_</v>
      </c>
      <c r="T72" s="127" t="str">
        <f>IF(G11="","",-SUM(L71)*SUM(L72))</f>
        <v/>
      </c>
      <c r="V72" s="162" t="str">
        <f>IF(AND(L11&lt;&gt;"",SUM(L71)&gt;0),IF(L72&lt;&gt;"",TRUE,CONST_ErrorOrMissing&amp;C11),CONST_NA)</f>
        <v>n.a.</v>
      </c>
    </row>
    <row r="73" spans="2:24" ht="12.75" customHeight="1" thickBot="1" x14ac:dyDescent="0.3">
      <c r="C73" s="208"/>
      <c r="D73" s="209"/>
      <c r="E73" s="210"/>
      <c r="F73" s="211"/>
      <c r="G73" s="211"/>
      <c r="H73" s="211"/>
      <c r="I73" s="211"/>
      <c r="J73" s="211"/>
      <c r="K73" s="211"/>
      <c r="L73" s="211"/>
      <c r="M73" s="211"/>
      <c r="N73" s="212"/>
      <c r="T73" s="128"/>
    </row>
    <row r="74" spans="2:24" ht="12.75" customHeight="1" thickBot="1" x14ac:dyDescent="0.3">
      <c r="T74" s="128"/>
    </row>
    <row r="75" spans="2:24" ht="12.75" customHeight="1" thickBot="1" x14ac:dyDescent="0.3">
      <c r="B75" s="150"/>
      <c r="C75" s="150"/>
      <c r="D75" s="150"/>
      <c r="E75" s="150"/>
      <c r="F75" s="150"/>
      <c r="G75" s="150"/>
      <c r="H75" s="150"/>
      <c r="I75" s="150"/>
      <c r="J75" s="150"/>
      <c r="K75" s="150"/>
      <c r="L75" s="150"/>
      <c r="M75" s="150"/>
      <c r="N75" s="150"/>
      <c r="O75" s="150"/>
      <c r="T75" s="128"/>
    </row>
    <row r="76" spans="2:24" ht="18" customHeight="1" thickBot="1" x14ac:dyDescent="0.3">
      <c r="C76" s="152">
        <f>C11+1</f>
        <v>2</v>
      </c>
      <c r="D76" s="153" t="str">
        <f>CONST_ProductionProcess &amp; " " &amp; C76 &amp; ":"</f>
        <v>Production process 2:</v>
      </c>
      <c r="G76" s="1191" t="str">
        <f>IF(INDEX(CNTR_List_ExistProdProcNames,R76)=CONST_NA,"",INDEX(CNTR_List_ExistProdProcNames,R76))</f>
        <v/>
      </c>
      <c r="H76" s="1192"/>
      <c r="I76" s="1192"/>
      <c r="J76" s="1192"/>
      <c r="K76" s="1193"/>
      <c r="L76" s="1194" t="str">
        <f>IF(INDEX(CNTR_List_ExistProdProc,R76)=CONST_NA,"",INDEX(CNTR_List_ExistProdProc,R76))</f>
        <v/>
      </c>
      <c r="M76" s="1195"/>
      <c r="N76" s="1196"/>
      <c r="R76" s="154">
        <f>C76</f>
        <v>2</v>
      </c>
      <c r="T76" s="128"/>
      <c r="W76" s="104" t="s">
        <v>1330</v>
      </c>
      <c r="X76" s="155" t="b">
        <f>AND(CNTR_HasEntriesA,G76="")</f>
        <v>0</v>
      </c>
    </row>
    <row r="77" spans="2:24" ht="5.0999999999999996" customHeight="1" x14ac:dyDescent="0.25">
      <c r="D77" s="103"/>
      <c r="E77" s="98"/>
      <c r="T77" s="128"/>
    </row>
    <row r="78" spans="2:24" ht="12.75" customHeight="1" x14ac:dyDescent="0.25">
      <c r="D78" s="103"/>
      <c r="E78" s="1172" t="str">
        <f ca="1">HYPERLINK("#"&amp;ADDRESS(MATCH($S78,G_FurtherGuidance!$S:$S,0),3,,,G_FurtherGuidance!$U$2),CONST_LinkToGuidanceSheet)</f>
        <v>Please click on this link for further guidance on how to complete this section.</v>
      </c>
      <c r="F78" s="1172"/>
      <c r="G78" s="1172"/>
      <c r="H78" s="1172"/>
      <c r="I78" s="1172"/>
      <c r="J78" s="1172"/>
      <c r="K78" s="1172"/>
      <c r="L78" s="1172"/>
      <c r="M78" s="1172"/>
      <c r="R78" s="104" t="s">
        <v>1320</v>
      </c>
      <c r="S78" s="105">
        <v>3</v>
      </c>
      <c r="T78" s="128"/>
    </row>
    <row r="79" spans="2:24" ht="5.0999999999999996" customHeight="1" x14ac:dyDescent="0.25">
      <c r="D79" s="103"/>
      <c r="E79" s="98"/>
      <c r="T79" s="128"/>
    </row>
    <row r="80" spans="2:24" ht="12.75" customHeight="1" x14ac:dyDescent="0.25">
      <c r="D80" s="120" t="s">
        <v>1331</v>
      </c>
      <c r="E80" s="98" t="str">
        <f>Translations!$B$243</f>
        <v>Total production levels:</v>
      </c>
      <c r="H80" s="156" t="str">
        <f>Translations!$B$244</f>
        <v>Production route</v>
      </c>
      <c r="K80" s="157" t="str">
        <f>Translations!$B$221</f>
        <v>Unit</v>
      </c>
      <c r="L80" s="157" t="str">
        <f>Translations!$B$245</f>
        <v>Amounts</v>
      </c>
      <c r="T80" s="128"/>
    </row>
    <row r="81" spans="4:24" ht="12.75" customHeight="1" x14ac:dyDescent="0.25">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x14ac:dyDescent="0.25">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x14ac:dyDescent="0.25">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x14ac:dyDescent="0.25">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x14ac:dyDescent="0.25">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x14ac:dyDescent="0.25">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x14ac:dyDescent="0.25">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x14ac:dyDescent="0.25">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x14ac:dyDescent="0.25">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x14ac:dyDescent="0.25">
      <c r="D90" s="137"/>
      <c r="E90" s="98"/>
      <c r="T90" s="128"/>
    </row>
    <row r="91" spans="4:24" ht="12.75" customHeight="1" x14ac:dyDescent="0.25">
      <c r="D91" s="120" t="s">
        <v>1253</v>
      </c>
      <c r="E91" s="98" t="str">
        <f>Translations!$B$247</f>
        <v>Production details</v>
      </c>
      <c r="F91" s="98"/>
      <c r="G91" s="98"/>
      <c r="H91" s="120"/>
      <c r="K91" s="120" t="str">
        <f>Translations!$B$221</f>
        <v>Unit</v>
      </c>
      <c r="L91" s="120" t="str">
        <f>Translations!$B$245</f>
        <v>Amounts</v>
      </c>
      <c r="T91" s="128"/>
    </row>
    <row r="92" spans="4:24" ht="12.75" customHeight="1" x14ac:dyDescent="0.25">
      <c r="D92" s="137" t="s">
        <v>1238</v>
      </c>
      <c r="E92" s="143" t="str">
        <f>Translations!$B$248</f>
        <v>Produced for the market</v>
      </c>
      <c r="F92" s="143"/>
      <c r="G92" s="143"/>
      <c r="H92" s="143"/>
      <c r="I92" s="143"/>
      <c r="J92" s="143"/>
      <c r="K92" s="171" t="str">
        <f>K81</f>
        <v/>
      </c>
      <c r="L92" s="213"/>
      <c r="O92" s="161"/>
      <c r="R92" s="102" t="str">
        <f>CONST_GoodToMarket&amp;G76</f>
        <v>ToMarket_</v>
      </c>
      <c r="T92" s="127" t="str">
        <f>IF($G$11="","",L92)</f>
        <v/>
      </c>
      <c r="V92" s="162" t="str">
        <f>IF(AND(G76&lt;&gt;"",L92&lt;&gt;""),TRUE,IF(AND(G76&lt;&gt;"",OR(L92="",L81&lt;&gt;"")),CONST_ErrorOrMissing&amp;C76,CONST_NA))</f>
        <v>n.a.</v>
      </c>
    </row>
    <row r="93" spans="4:24" ht="12.75" customHeight="1" x14ac:dyDescent="0.25">
      <c r="D93" s="137" t="s">
        <v>1239</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x14ac:dyDescent="0.25">
      <c r="D94" s="137" t="s">
        <v>1240</v>
      </c>
      <c r="E94" s="141" t="str">
        <f>Translations!$B$250</f>
        <v>Total production only for the market?</v>
      </c>
      <c r="F94" s="293"/>
      <c r="G94" s="293"/>
      <c r="H94" s="293"/>
      <c r="I94" s="293"/>
      <c r="J94" s="293"/>
      <c r="K94" s="293"/>
      <c r="L94" s="294" t="str">
        <f>IF(G76="","",AND(SUM(L89)&gt;0,SUM(L89)=SUM(L92)))</f>
        <v/>
      </c>
      <c r="T94" s="128"/>
    </row>
    <row r="95" spans="4:24" ht="5.0999999999999996" customHeight="1" x14ac:dyDescent="0.25">
      <c r="D95" s="137"/>
      <c r="E95" s="98"/>
      <c r="T95" s="128"/>
    </row>
    <row r="96" spans="4:24" ht="12.75" customHeight="1" x14ac:dyDescent="0.25">
      <c r="D96" s="120" t="s">
        <v>1254</v>
      </c>
      <c r="E96" s="98" t="str">
        <f>Translations!$B$251</f>
        <v>Consumed in other 'production processes' within the installation:</v>
      </c>
      <c r="F96" s="98"/>
      <c r="G96" s="98"/>
      <c r="H96" s="98"/>
      <c r="I96" s="98"/>
      <c r="J96" s="98"/>
      <c r="K96" s="120" t="str">
        <f>Translations!$B$221</f>
        <v>Unit</v>
      </c>
      <c r="L96" s="120" t="str">
        <f>Translations!$B$245</f>
        <v>Amounts</v>
      </c>
      <c r="S96" s="126" t="s">
        <v>1332</v>
      </c>
      <c r="T96" s="128"/>
      <c r="W96" s="104" t="s">
        <v>1333</v>
      </c>
      <c r="X96" s="102" t="b">
        <f>IF(G76="",FALSE,L94)</f>
        <v>0</v>
      </c>
    </row>
    <row r="97" spans="3:24" ht="12.75" customHeight="1" x14ac:dyDescent="0.25">
      <c r="D97" s="174">
        <v>1</v>
      </c>
      <c r="E97" s="175" t="str">
        <f t="shared" ref="E97:E105" si="6">IF(INDEX(CNTR_List_ExistProdProcNames,S97)=CONST_NA,"",INDEX(CNTR_List_ExistProdProcNames,S97))</f>
        <v/>
      </c>
      <c r="F97" s="176"/>
      <c r="G97" s="176"/>
      <c r="H97" s="176"/>
      <c r="I97" s="176"/>
      <c r="J97" s="177"/>
      <c r="K97" s="160" t="str">
        <f>K81</f>
        <v/>
      </c>
      <c r="L97" s="28"/>
      <c r="O97" s="161"/>
      <c r="R97" s="102" t="str">
        <f>CONST_PrecursorToGoodInput&amp;G76 &amp;"_"&amp;E97</f>
        <v>PrecToGood__</v>
      </c>
      <c r="S97" s="105">
        <f>MAX(S96:S96)+IF(D97=C76,2,1)</f>
        <v>1</v>
      </c>
      <c r="T97" s="127" t="str">
        <f>IF(G76="","",L97)</f>
        <v/>
      </c>
      <c r="V97" s="162" t="str">
        <f>IF(AND(G76&lt;&gt;"",E97&lt;&gt;"",L97&lt;&gt;""),TRUE,IF(AND(G76&lt;&gt;"",E97&lt;&gt;"",L97="",X97=FALSE),CONST_ErrorOrMissing&amp;C76,CONST_NA))</f>
        <v>n.a.</v>
      </c>
      <c r="W97" s="104" t="s">
        <v>1333</v>
      </c>
      <c r="X97" s="102" t="b">
        <f>IF(G76="",FALSE,OR(L94,E97=""))</f>
        <v>0</v>
      </c>
    </row>
    <row r="98" spans="3:24" ht="12.75" customHeight="1" x14ac:dyDescent="0.25">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x14ac:dyDescent="0.25">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x14ac:dyDescent="0.25">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x14ac:dyDescent="0.25">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x14ac:dyDescent="0.25">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x14ac:dyDescent="0.25">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x14ac:dyDescent="0.25">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x14ac:dyDescent="0.25">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x14ac:dyDescent="0.25">
      <c r="D106" s="120" t="s">
        <v>1334</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1333</v>
      </c>
      <c r="X106" s="102" t="b">
        <f>IF(G76="",FALSE,L94)</f>
        <v>0</v>
      </c>
    </row>
    <row r="107" spans="3:24" ht="12.75" customHeight="1" x14ac:dyDescent="0.25">
      <c r="D107" s="120" t="s">
        <v>1335</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x14ac:dyDescent="0.3">
      <c r="T108" s="128"/>
    </row>
    <row r="109" spans="3:24" ht="12.75" customHeight="1" x14ac:dyDescent="0.25">
      <c r="C109" s="188"/>
      <c r="D109" s="189"/>
      <c r="E109" s="190"/>
      <c r="F109" s="191"/>
      <c r="G109" s="191"/>
      <c r="H109" s="191"/>
      <c r="I109" s="191"/>
      <c r="J109" s="191"/>
      <c r="K109" s="191"/>
      <c r="L109" s="191"/>
      <c r="M109" s="191"/>
      <c r="N109" s="192"/>
      <c r="T109" s="128"/>
    </row>
    <row r="110" spans="3:24" ht="15" customHeight="1" x14ac:dyDescent="0.25">
      <c r="C110" s="193"/>
      <c r="D110" s="194" t="str">
        <f>Translations!$B$254</f>
        <v>Calculation of the attributed emissions:</v>
      </c>
      <c r="E110" s="195"/>
      <c r="F110" s="196"/>
      <c r="G110" s="196"/>
      <c r="H110" s="196"/>
      <c r="I110" s="196"/>
      <c r="J110" s="1190" t="str">
        <f>IF(G76="","",G76)</f>
        <v/>
      </c>
      <c r="K110" s="1190"/>
      <c r="L110" s="1190"/>
      <c r="M110" s="1190"/>
      <c r="N110" s="197"/>
      <c r="T110" s="128"/>
    </row>
    <row r="111" spans="3:24" ht="5.0999999999999996" customHeight="1" x14ac:dyDescent="0.25">
      <c r="C111" s="193"/>
      <c r="D111" s="198"/>
      <c r="E111" s="199"/>
      <c r="F111" s="196"/>
      <c r="G111" s="196"/>
      <c r="H111" s="196"/>
      <c r="I111" s="196"/>
      <c r="J111" s="196"/>
      <c r="K111" s="196"/>
      <c r="L111" s="196"/>
      <c r="M111" s="196"/>
      <c r="N111" s="197"/>
      <c r="T111" s="128"/>
    </row>
    <row r="112" spans="3:24" ht="12.75" customHeight="1" x14ac:dyDescent="0.25">
      <c r="C112" s="193"/>
      <c r="D112" s="200"/>
      <c r="E112" s="1172" t="str">
        <f ca="1">HYPERLINK("#"&amp;ADDRESS(MATCH($S112,G_FurtherGuidance!$S:$S,0),3,,,G_FurtherGuidance!$U$2),CONST_LinkToGuidanceSheet)</f>
        <v>Please click on this link for further guidance on how to complete this section.</v>
      </c>
      <c r="F112" s="1172"/>
      <c r="G112" s="1172"/>
      <c r="H112" s="1172"/>
      <c r="I112" s="1172"/>
      <c r="J112" s="1172"/>
      <c r="K112" s="1172"/>
      <c r="L112" s="1172"/>
      <c r="M112" s="1172"/>
      <c r="N112" s="203"/>
      <c r="R112" s="104" t="s">
        <v>1320</v>
      </c>
      <c r="S112" s="105">
        <v>3</v>
      </c>
      <c r="T112" s="128"/>
    </row>
    <row r="113" spans="3:24" ht="5.0999999999999996" customHeight="1" x14ac:dyDescent="0.25">
      <c r="C113" s="193"/>
      <c r="D113" s="198"/>
      <c r="E113" s="199"/>
      <c r="F113" s="196"/>
      <c r="G113" s="196"/>
      <c r="H113" s="196"/>
      <c r="I113" s="196"/>
      <c r="J113" s="199"/>
      <c r="K113" s="196"/>
      <c r="L113" s="196"/>
      <c r="M113" s="196"/>
      <c r="N113" s="197"/>
      <c r="T113" s="128"/>
      <c r="X113" s="104"/>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x14ac:dyDescent="0.25">
      <c r="C115" s="193"/>
      <c r="D115" s="200" t="s">
        <v>1336</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x14ac:dyDescent="0.25">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x14ac:dyDescent="0.25">
      <c r="C117" s="193"/>
      <c r="D117" s="205"/>
      <c r="E117" s="199"/>
      <c r="F117" s="196"/>
      <c r="G117" s="196"/>
      <c r="H117" s="196"/>
      <c r="I117" s="196"/>
      <c r="J117" s="196"/>
      <c r="K117" s="199"/>
      <c r="L117" s="196"/>
      <c r="M117" s="196"/>
      <c r="N117" s="197"/>
      <c r="T117" s="128"/>
      <c r="X117" s="104"/>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x14ac:dyDescent="0.25">
      <c r="C119" s="193"/>
      <c r="D119" s="200" t="s">
        <v>1337</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x14ac:dyDescent="0.25">
      <c r="C120" s="193"/>
      <c r="D120" s="205"/>
      <c r="E120" s="199"/>
      <c r="F120" s="196"/>
      <c r="G120" s="196"/>
      <c r="H120" s="196"/>
      <c r="I120" s="196"/>
      <c r="J120" s="196"/>
      <c r="K120" s="196"/>
      <c r="L120" s="200"/>
      <c r="M120" s="200"/>
      <c r="N120" s="197"/>
      <c r="T120" s="128"/>
    </row>
    <row r="121" spans="3:24" ht="12.75" customHeight="1" x14ac:dyDescent="0.25">
      <c r="C121" s="193"/>
      <c r="D121" s="200" t="s">
        <v>1338</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1333</v>
      </c>
      <c r="X121" s="102" t="b">
        <f>AND(K115&lt;&gt;"",K115=FALSE)</f>
        <v>0</v>
      </c>
    </row>
    <row r="122" spans="3:24" ht="12.75" customHeight="1" x14ac:dyDescent="0.25">
      <c r="C122" s="193"/>
      <c r="D122" s="198" t="s">
        <v>1238</v>
      </c>
      <c r="E122" s="202" t="str">
        <f>Translations!$B$265</f>
        <v>Amount of net measurable heat</v>
      </c>
      <c r="F122" s="202"/>
      <c r="G122" s="202"/>
      <c r="H122" s="202"/>
      <c r="I122" s="202"/>
      <c r="J122" s="202"/>
      <c r="K122" s="207" t="s">
        <v>444</v>
      </c>
      <c r="L122" s="215"/>
      <c r="M122" s="215"/>
      <c r="N122" s="197"/>
      <c r="O122" s="161"/>
      <c r="T122" s="128"/>
      <c r="V122" s="162" t="str">
        <f>IF(AND(L76&lt;&gt;"",X122=FALSE),IF(COUNTA(L122:M122)=2,TRUE,CONST_ErrorOrMissing&amp;C76),CONST_NA)</f>
        <v>n.a.</v>
      </c>
      <c r="X122" s="102" t="b">
        <f>X121</f>
        <v>0</v>
      </c>
    </row>
    <row r="123" spans="3:24" ht="12.75" customHeight="1" x14ac:dyDescent="0.25">
      <c r="C123" s="193"/>
      <c r="D123" s="198" t="s">
        <v>1239</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x14ac:dyDescent="0.25">
      <c r="C124" s="193"/>
      <c r="D124" s="205"/>
      <c r="E124" s="199"/>
      <c r="F124" s="196"/>
      <c r="G124" s="196"/>
      <c r="H124" s="196"/>
      <c r="I124" s="196"/>
      <c r="J124" s="196"/>
      <c r="K124" s="196"/>
      <c r="L124" s="200"/>
      <c r="M124" s="200"/>
      <c r="N124" s="197"/>
      <c r="T124" s="128"/>
    </row>
    <row r="125" spans="3:24" ht="12.75" customHeight="1" x14ac:dyDescent="0.25">
      <c r="C125" s="193"/>
      <c r="D125" s="200" t="s">
        <v>1339</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1333</v>
      </c>
      <c r="X125" s="102" t="b">
        <f>AND(L115&lt;&gt;"",L115=FALSE)</f>
        <v>0</v>
      </c>
    </row>
    <row r="126" spans="3:24" ht="12.75" customHeight="1" x14ac:dyDescent="0.25">
      <c r="C126" s="193"/>
      <c r="D126" s="198" t="s">
        <v>1238</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x14ac:dyDescent="0.25">
      <c r="C127" s="193"/>
      <c r="D127" s="198" t="s">
        <v>1239</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x14ac:dyDescent="0.25">
      <c r="C128" s="193"/>
      <c r="D128" s="205"/>
      <c r="E128" s="199"/>
      <c r="F128" s="196"/>
      <c r="G128" s="196"/>
      <c r="H128" s="196"/>
      <c r="I128" s="196"/>
      <c r="J128" s="196"/>
      <c r="K128" s="196"/>
      <c r="L128" s="196"/>
      <c r="M128" s="196"/>
      <c r="N128" s="197"/>
      <c r="T128" s="128"/>
    </row>
    <row r="129" spans="2:24" ht="12.75" customHeight="1" x14ac:dyDescent="0.25">
      <c r="C129" s="193"/>
      <c r="D129" s="200" t="s">
        <v>1340</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1333</v>
      </c>
      <c r="X129" s="102" t="b">
        <f>M115=FALSE</f>
        <v>0</v>
      </c>
    </row>
    <row r="130" spans="2:24" ht="12.75" customHeight="1" x14ac:dyDescent="0.25">
      <c r="C130" s="193"/>
      <c r="D130" s="198" t="s">
        <v>1238</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x14ac:dyDescent="0.25">
      <c r="C131" s="193"/>
      <c r="D131" s="198" t="s">
        <v>1239</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x14ac:dyDescent="0.25">
      <c r="C132" s="193"/>
      <c r="D132" s="198" t="s">
        <v>1240</v>
      </c>
      <c r="E132" s="202" t="str">
        <f>Translations!$B$272</f>
        <v>Source of the emission factor</v>
      </c>
      <c r="F132" s="202"/>
      <c r="G132" s="202"/>
      <c r="H132" s="202"/>
      <c r="I132" s="202"/>
      <c r="J132" s="202"/>
      <c r="K132" s="302" t="s">
        <v>1329</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x14ac:dyDescent="0.25">
      <c r="C133" s="193"/>
      <c r="D133" s="205"/>
      <c r="E133" s="199"/>
      <c r="F133" s="196"/>
      <c r="G133" s="196"/>
      <c r="H133" s="196"/>
      <c r="I133" s="196"/>
      <c r="J133" s="196"/>
      <c r="K133" s="196"/>
      <c r="L133" s="196"/>
      <c r="M133" s="196"/>
      <c r="N133" s="197"/>
      <c r="T133" s="128"/>
    </row>
    <row r="134" spans="2:24" ht="12.75" customHeight="1" x14ac:dyDescent="0.25">
      <c r="C134" s="193"/>
      <c r="D134" s="205"/>
      <c r="E134" s="199"/>
      <c r="F134" s="196"/>
      <c r="G134" s="196"/>
      <c r="H134" s="196"/>
      <c r="I134" s="196"/>
      <c r="J134" s="196"/>
      <c r="K134" s="196"/>
      <c r="L134" s="196"/>
      <c r="M134" s="196"/>
      <c r="N134" s="197"/>
      <c r="T134" s="128"/>
    </row>
    <row r="135" spans="2:24" ht="12.75" customHeight="1" x14ac:dyDescent="0.25">
      <c r="C135" s="193"/>
      <c r="D135" s="200" t="s">
        <v>1341</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x14ac:dyDescent="0.25">
      <c r="C136" s="193"/>
      <c r="D136" s="198" t="s">
        <v>1238</v>
      </c>
      <c r="E136" s="202" t="str">
        <f>Translations!$B$274</f>
        <v>Amounts exported</v>
      </c>
      <c r="F136" s="202"/>
      <c r="G136" s="202"/>
      <c r="H136" s="202"/>
      <c r="I136" s="202"/>
      <c r="J136" s="202"/>
      <c r="K136" s="207" t="s">
        <v>1342</v>
      </c>
      <c r="L136" s="215"/>
      <c r="M136" s="196"/>
      <c r="N136" s="197"/>
      <c r="O136" s="161"/>
      <c r="T136" s="128"/>
      <c r="V136" s="162" t="str">
        <f>IF(L76&lt;&gt;"",IF(L136&lt;&gt;"",TRUE,CONST_ErrorOrMissing&amp;C76),CONST_NA)</f>
        <v>n.a.</v>
      </c>
    </row>
    <row r="137" spans="2:24" ht="12.75" customHeight="1" x14ac:dyDescent="0.25">
      <c r="C137" s="193"/>
      <c r="D137" s="198" t="s">
        <v>1239</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x14ac:dyDescent="0.3">
      <c r="C138" s="208"/>
      <c r="D138" s="209"/>
      <c r="E138" s="210"/>
      <c r="F138" s="211"/>
      <c r="G138" s="211"/>
      <c r="H138" s="211"/>
      <c r="I138" s="211"/>
      <c r="J138" s="211"/>
      <c r="K138" s="211"/>
      <c r="L138" s="211"/>
      <c r="M138" s="211"/>
      <c r="N138" s="212"/>
      <c r="T138" s="128"/>
    </row>
    <row r="139" spans="2:24" ht="12.75" customHeight="1" thickBot="1" x14ac:dyDescent="0.3">
      <c r="T139" s="128"/>
    </row>
    <row r="140" spans="2:24" ht="12.75" customHeight="1" thickBot="1" x14ac:dyDescent="0.3">
      <c r="B140" s="150"/>
      <c r="C140" s="150"/>
      <c r="D140" s="150"/>
      <c r="E140" s="150"/>
      <c r="F140" s="150"/>
      <c r="G140" s="150"/>
      <c r="H140" s="150"/>
      <c r="I140" s="150"/>
      <c r="J140" s="150"/>
      <c r="K140" s="150"/>
      <c r="L140" s="150"/>
      <c r="M140" s="150"/>
      <c r="N140" s="150"/>
      <c r="O140" s="150"/>
      <c r="T140" s="128"/>
    </row>
    <row r="141" spans="2:24" ht="18" customHeight="1" thickBot="1" x14ac:dyDescent="0.3">
      <c r="C141" s="152">
        <f>C76+1</f>
        <v>3</v>
      </c>
      <c r="D141" s="153" t="str">
        <f>CONST_ProductionProcess &amp; " " &amp; C141 &amp; ":"</f>
        <v>Production process 3:</v>
      </c>
      <c r="G141" s="1191" t="str">
        <f>IF(INDEX(CNTR_List_ExistProdProcNames,R141)=CONST_NA,"",INDEX(CNTR_List_ExistProdProcNames,R141))</f>
        <v/>
      </c>
      <c r="H141" s="1192"/>
      <c r="I141" s="1192"/>
      <c r="J141" s="1192"/>
      <c r="K141" s="1193"/>
      <c r="L141" s="1194" t="str">
        <f>IF(INDEX(CNTR_List_ExistProdProc,R141)=CONST_NA,"",INDEX(CNTR_List_ExistProdProc,R141))</f>
        <v/>
      </c>
      <c r="M141" s="1195"/>
      <c r="N141" s="1196"/>
      <c r="R141" s="154">
        <f>C141</f>
        <v>3</v>
      </c>
      <c r="T141" s="128"/>
      <c r="W141" s="104" t="s">
        <v>1330</v>
      </c>
      <c r="X141" s="155" t="b">
        <f>AND(CNTR_HasEntriesA,G141="")</f>
        <v>0</v>
      </c>
    </row>
    <row r="142" spans="2:24" ht="5.0999999999999996" customHeight="1" x14ac:dyDescent="0.25">
      <c r="D142" s="103"/>
      <c r="E142" s="98"/>
      <c r="T142" s="128"/>
    </row>
    <row r="143" spans="2:24" ht="12.75" customHeight="1" x14ac:dyDescent="0.25">
      <c r="D143" s="103"/>
      <c r="E143" s="1172" t="str">
        <f ca="1">HYPERLINK("#"&amp;ADDRESS(MATCH($S143,G_FurtherGuidance!$S:$S,0),3,,,G_FurtherGuidance!$U$2),CONST_LinkToGuidanceSheet)</f>
        <v>Please click on this link for further guidance on how to complete this section.</v>
      </c>
      <c r="F143" s="1172"/>
      <c r="G143" s="1172"/>
      <c r="H143" s="1172"/>
      <c r="I143" s="1172"/>
      <c r="J143" s="1172"/>
      <c r="K143" s="1172"/>
      <c r="L143" s="1172"/>
      <c r="M143" s="1172"/>
      <c r="R143" s="104" t="s">
        <v>1320</v>
      </c>
      <c r="S143" s="105">
        <v>3</v>
      </c>
      <c r="T143" s="128"/>
    </row>
    <row r="144" spans="2:24" ht="5.0999999999999996" customHeight="1" x14ac:dyDescent="0.25">
      <c r="D144" s="103"/>
      <c r="E144" s="98"/>
      <c r="T144" s="128"/>
    </row>
    <row r="145" spans="4:22" ht="12.75" customHeight="1" x14ac:dyDescent="0.25">
      <c r="D145" s="120" t="s">
        <v>1331</v>
      </c>
      <c r="E145" s="98" t="str">
        <f>Translations!$B$243</f>
        <v>Total production levels:</v>
      </c>
      <c r="H145" s="156" t="str">
        <f>Translations!$B$244</f>
        <v>Production route</v>
      </c>
      <c r="K145" s="157" t="str">
        <f>Translations!$B$221</f>
        <v>Unit</v>
      </c>
      <c r="L145" s="157" t="str">
        <f>Translations!$B$245</f>
        <v>Amounts</v>
      </c>
      <c r="T145" s="128"/>
    </row>
    <row r="146" spans="4:22" ht="12.75" customHeight="1" x14ac:dyDescent="0.25">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x14ac:dyDescent="0.25">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x14ac:dyDescent="0.25">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x14ac:dyDescent="0.25">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x14ac:dyDescent="0.25">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x14ac:dyDescent="0.25">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x14ac:dyDescent="0.25">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x14ac:dyDescent="0.25">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x14ac:dyDescent="0.25">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x14ac:dyDescent="0.25">
      <c r="D155" s="137"/>
      <c r="E155" s="98"/>
      <c r="T155" s="128"/>
    </row>
    <row r="156" spans="4:22" ht="12.75" customHeight="1" x14ac:dyDescent="0.25">
      <c r="D156" s="120" t="s">
        <v>1253</v>
      </c>
      <c r="E156" s="98" t="str">
        <f>Translations!$B$247</f>
        <v>Production details</v>
      </c>
      <c r="F156" s="98"/>
      <c r="G156" s="98"/>
      <c r="H156" s="120"/>
      <c r="K156" s="120" t="str">
        <f>Translations!$B$221</f>
        <v>Unit</v>
      </c>
      <c r="L156" s="120" t="str">
        <f>Translations!$B$245</f>
        <v>Amounts</v>
      </c>
      <c r="T156" s="128"/>
    </row>
    <row r="157" spans="4:22" ht="12.75" customHeight="1" x14ac:dyDescent="0.25">
      <c r="D157" s="137" t="s">
        <v>1238</v>
      </c>
      <c r="E157" s="143" t="str">
        <f>Translations!$B$248</f>
        <v>Produced for the market</v>
      </c>
      <c r="F157" s="143"/>
      <c r="G157" s="143"/>
      <c r="H157" s="143"/>
      <c r="I157" s="143"/>
      <c r="J157" s="143"/>
      <c r="K157" s="171" t="str">
        <f>K146</f>
        <v/>
      </c>
      <c r="L157" s="213"/>
      <c r="O157" s="161"/>
      <c r="R157" s="102" t="str">
        <f>CONST_GoodToMarket&amp;G141</f>
        <v>ToMarket_</v>
      </c>
      <c r="T157" s="127" t="str">
        <f>IF($G$11="","",L157)</f>
        <v/>
      </c>
      <c r="V157" s="162" t="str">
        <f>IF(AND(G141&lt;&gt;"",L157&lt;&gt;""),TRUE,IF(AND(G141&lt;&gt;"",OR(L157="",L146&lt;&gt;"")),CONST_ErrorOrMissing&amp;C141,CONST_NA))</f>
        <v>n.a.</v>
      </c>
    </row>
    <row r="158" spans="4:22" ht="12.75" customHeight="1" x14ac:dyDescent="0.25">
      <c r="D158" s="137" t="s">
        <v>1239</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x14ac:dyDescent="0.25">
      <c r="D159" s="137" t="s">
        <v>1240</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x14ac:dyDescent="0.25">
      <c r="D160" s="137"/>
      <c r="E160" s="98"/>
      <c r="T160" s="128"/>
    </row>
    <row r="161" spans="3:24" ht="12.75" customHeight="1" x14ac:dyDescent="0.25">
      <c r="D161" s="120" t="s">
        <v>1254</v>
      </c>
      <c r="E161" s="98" t="str">
        <f>Translations!$B$251</f>
        <v>Consumed in other 'production processes' within the installation:</v>
      </c>
      <c r="F161" s="98"/>
      <c r="G161" s="98"/>
      <c r="H161" s="98"/>
      <c r="I161" s="98"/>
      <c r="J161" s="98"/>
      <c r="K161" s="120" t="str">
        <f>Translations!$B$221</f>
        <v>Unit</v>
      </c>
      <c r="L161" s="120" t="str">
        <f>Translations!$B$245</f>
        <v>Amounts</v>
      </c>
      <c r="S161" s="126" t="s">
        <v>1332</v>
      </c>
      <c r="T161" s="128"/>
      <c r="W161" s="104" t="s">
        <v>1333</v>
      </c>
      <c r="X161" s="102" t="b">
        <f>IF(G141="",FALSE,L159)</f>
        <v>0</v>
      </c>
    </row>
    <row r="162" spans="3:24" ht="12.75" customHeight="1" x14ac:dyDescent="0.25">
      <c r="D162" s="174">
        <v>1</v>
      </c>
      <c r="E162" s="175" t="str">
        <f t="shared" ref="E162:E170" si="10">IF(INDEX(CNTR_List_ExistProdProcNames,S162)=CONST_NA,"",INDEX(CNTR_List_ExistProdProcNames,S162))</f>
        <v/>
      </c>
      <c r="F162" s="176"/>
      <c r="G162" s="176"/>
      <c r="H162" s="176"/>
      <c r="I162" s="176"/>
      <c r="J162" s="177"/>
      <c r="K162" s="160" t="str">
        <f>K146</f>
        <v/>
      </c>
      <c r="L162" s="28"/>
      <c r="O162" s="161"/>
      <c r="R162" s="102" t="str">
        <f>CONST_PrecursorToGoodInput&amp;G141 &amp;"_"&amp;E162</f>
        <v>PrecToGood__</v>
      </c>
      <c r="S162" s="105">
        <f>MAX(S161:S161)+IF(D162=C141,2,1)</f>
        <v>1</v>
      </c>
      <c r="T162" s="127" t="str">
        <f>IF(G141="","",L162)</f>
        <v/>
      </c>
      <c r="V162" s="162" t="str">
        <f>IF(AND(G141&lt;&gt;"",E162&lt;&gt;"",L162&lt;&gt;""),TRUE,IF(AND(G141&lt;&gt;"",E162&lt;&gt;"",L162="",X162=FALSE),CONST_ErrorOrMissing&amp;C141,CONST_NA))</f>
        <v>n.a.</v>
      </c>
      <c r="W162" s="104" t="s">
        <v>1333</v>
      </c>
      <c r="X162" s="102" t="b">
        <f>IF(G141="",FALSE,OR(L159,E162=""))</f>
        <v>0</v>
      </c>
    </row>
    <row r="163" spans="3:24" ht="12.75" customHeight="1" x14ac:dyDescent="0.25">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x14ac:dyDescent="0.25">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x14ac:dyDescent="0.25">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x14ac:dyDescent="0.25">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x14ac:dyDescent="0.25">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x14ac:dyDescent="0.25">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x14ac:dyDescent="0.25">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x14ac:dyDescent="0.25">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x14ac:dyDescent="0.25">
      <c r="D171" s="120" t="s">
        <v>1334</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1333</v>
      </c>
      <c r="X171" s="102" t="b">
        <f>IF(G141="",FALSE,L159)</f>
        <v>0</v>
      </c>
    </row>
    <row r="172" spans="3:24" ht="12.75" customHeight="1" x14ac:dyDescent="0.25">
      <c r="D172" s="120" t="s">
        <v>1335</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x14ac:dyDescent="0.3">
      <c r="T173" s="128"/>
    </row>
    <row r="174" spans="3:24" ht="12.75" customHeight="1" x14ac:dyDescent="0.25">
      <c r="C174" s="188"/>
      <c r="D174" s="189"/>
      <c r="E174" s="190"/>
      <c r="F174" s="191"/>
      <c r="G174" s="191"/>
      <c r="H174" s="191"/>
      <c r="I174" s="191"/>
      <c r="J174" s="191"/>
      <c r="K174" s="191"/>
      <c r="L174" s="191"/>
      <c r="M174" s="191"/>
      <c r="N174" s="192"/>
      <c r="T174" s="128"/>
    </row>
    <row r="175" spans="3:24" ht="15" customHeight="1" x14ac:dyDescent="0.25">
      <c r="C175" s="193"/>
      <c r="D175" s="194" t="str">
        <f>Translations!$B$254</f>
        <v>Calculation of the attributed emissions:</v>
      </c>
      <c r="E175" s="195"/>
      <c r="F175" s="196"/>
      <c r="G175" s="196"/>
      <c r="H175" s="196"/>
      <c r="I175" s="196"/>
      <c r="J175" s="1190" t="str">
        <f>IF(G141="","",G141)</f>
        <v/>
      </c>
      <c r="K175" s="1190"/>
      <c r="L175" s="1190"/>
      <c r="M175" s="1190"/>
      <c r="N175" s="197"/>
      <c r="T175" s="128"/>
    </row>
    <row r="176" spans="3:24" ht="5.0999999999999996" customHeight="1" x14ac:dyDescent="0.25">
      <c r="C176" s="193"/>
      <c r="D176" s="198"/>
      <c r="E176" s="199"/>
      <c r="F176" s="196"/>
      <c r="G176" s="196"/>
      <c r="H176" s="196"/>
      <c r="I176" s="196"/>
      <c r="J176" s="196"/>
      <c r="K176" s="196"/>
      <c r="L176" s="196"/>
      <c r="M176" s="196"/>
      <c r="N176" s="197"/>
      <c r="T176" s="128"/>
    </row>
    <row r="177" spans="3:24" ht="12.75" customHeight="1" x14ac:dyDescent="0.25">
      <c r="C177" s="193"/>
      <c r="D177" s="200"/>
      <c r="E177" s="1172" t="str">
        <f ca="1">HYPERLINK("#"&amp;ADDRESS(MATCH($S177,G_FurtherGuidance!$S:$S,0),3,,,G_FurtherGuidance!$U$2),CONST_LinkToGuidanceSheet)</f>
        <v>Please click on this link for further guidance on how to complete this section.</v>
      </c>
      <c r="F177" s="1172"/>
      <c r="G177" s="1172"/>
      <c r="H177" s="1172"/>
      <c r="I177" s="1172"/>
      <c r="J177" s="1172"/>
      <c r="K177" s="1172"/>
      <c r="L177" s="1172"/>
      <c r="M177" s="1172"/>
      <c r="N177" s="203"/>
      <c r="R177" s="104" t="s">
        <v>1320</v>
      </c>
      <c r="S177" s="105">
        <v>3</v>
      </c>
      <c r="T177" s="128"/>
    </row>
    <row r="178" spans="3:24" ht="5.0999999999999996" customHeight="1" x14ac:dyDescent="0.25">
      <c r="C178" s="193"/>
      <c r="D178" s="198"/>
      <c r="E178" s="199"/>
      <c r="F178" s="196"/>
      <c r="G178" s="196"/>
      <c r="H178" s="196"/>
      <c r="I178" s="196"/>
      <c r="J178" s="199"/>
      <c r="K178" s="196"/>
      <c r="L178" s="196"/>
      <c r="M178" s="196"/>
      <c r="N178" s="197"/>
      <c r="T178" s="128"/>
      <c r="X178" s="104"/>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x14ac:dyDescent="0.25">
      <c r="C180" s="193"/>
      <c r="D180" s="200" t="s">
        <v>1336</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x14ac:dyDescent="0.25">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x14ac:dyDescent="0.25">
      <c r="C182" s="193"/>
      <c r="D182" s="205"/>
      <c r="E182" s="199"/>
      <c r="F182" s="196"/>
      <c r="G182" s="196"/>
      <c r="H182" s="196"/>
      <c r="I182" s="196"/>
      <c r="J182" s="196"/>
      <c r="K182" s="199"/>
      <c r="L182" s="196"/>
      <c r="M182" s="196"/>
      <c r="N182" s="197"/>
      <c r="T182" s="128"/>
      <c r="X182" s="104"/>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x14ac:dyDescent="0.25">
      <c r="C184" s="193"/>
      <c r="D184" s="200" t="s">
        <v>1337</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x14ac:dyDescent="0.25">
      <c r="C185" s="193"/>
      <c r="D185" s="205"/>
      <c r="E185" s="199"/>
      <c r="F185" s="196"/>
      <c r="G185" s="196"/>
      <c r="H185" s="196"/>
      <c r="I185" s="196"/>
      <c r="J185" s="196"/>
      <c r="K185" s="196"/>
      <c r="L185" s="200"/>
      <c r="M185" s="200"/>
      <c r="N185" s="197"/>
      <c r="T185" s="128"/>
    </row>
    <row r="186" spans="3:24" ht="12.75" customHeight="1" x14ac:dyDescent="0.25">
      <c r="C186" s="193"/>
      <c r="D186" s="200" t="s">
        <v>1338</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1333</v>
      </c>
      <c r="X186" s="102" t="b">
        <f>AND(K180&lt;&gt;"",K180=FALSE)</f>
        <v>0</v>
      </c>
    </row>
    <row r="187" spans="3:24" ht="12.75" customHeight="1" x14ac:dyDescent="0.25">
      <c r="C187" s="193"/>
      <c r="D187" s="198" t="s">
        <v>1238</v>
      </c>
      <c r="E187" s="202" t="str">
        <f>Translations!$B$265</f>
        <v>Amount of net measurable heat</v>
      </c>
      <c r="F187" s="202"/>
      <c r="G187" s="202"/>
      <c r="H187" s="202"/>
      <c r="I187" s="202"/>
      <c r="J187" s="202"/>
      <c r="K187" s="207" t="s">
        <v>444</v>
      </c>
      <c r="L187" s="215"/>
      <c r="M187" s="215"/>
      <c r="N187" s="197"/>
      <c r="O187" s="161"/>
      <c r="T187" s="128"/>
      <c r="V187" s="162" t="str">
        <f>IF(AND(L141&lt;&gt;"",X187=FALSE),IF(COUNTA(L187:M187)=2,TRUE,CONST_ErrorOrMissing&amp;C141),CONST_NA)</f>
        <v>n.a.</v>
      </c>
      <c r="X187" s="102" t="b">
        <f>X186</f>
        <v>0</v>
      </c>
    </row>
    <row r="188" spans="3:24" ht="12.75" customHeight="1" x14ac:dyDescent="0.25">
      <c r="C188" s="193"/>
      <c r="D188" s="198" t="s">
        <v>1239</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x14ac:dyDescent="0.25">
      <c r="C189" s="193"/>
      <c r="D189" s="205"/>
      <c r="E189" s="199"/>
      <c r="F189" s="196"/>
      <c r="G189" s="196"/>
      <c r="H189" s="196"/>
      <c r="I189" s="196"/>
      <c r="J189" s="196"/>
      <c r="K189" s="196"/>
      <c r="L189" s="200"/>
      <c r="M189" s="200"/>
      <c r="N189" s="197"/>
      <c r="T189" s="128"/>
    </row>
    <row r="190" spans="3:24" ht="12.75" customHeight="1" x14ac:dyDescent="0.25">
      <c r="C190" s="193"/>
      <c r="D190" s="200" t="s">
        <v>1339</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1333</v>
      </c>
      <c r="X190" s="102" t="b">
        <f>AND(L180&lt;&gt;"",L180=FALSE)</f>
        <v>0</v>
      </c>
    </row>
    <row r="191" spans="3:24" ht="12.75" customHeight="1" x14ac:dyDescent="0.25">
      <c r="C191" s="193"/>
      <c r="D191" s="198" t="s">
        <v>1238</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x14ac:dyDescent="0.25">
      <c r="C192" s="193"/>
      <c r="D192" s="198" t="s">
        <v>1239</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x14ac:dyDescent="0.25">
      <c r="C193" s="193"/>
      <c r="D193" s="205"/>
      <c r="E193" s="199"/>
      <c r="F193" s="196"/>
      <c r="G193" s="196"/>
      <c r="H193" s="196"/>
      <c r="I193" s="196"/>
      <c r="J193" s="196"/>
      <c r="K193" s="196"/>
      <c r="L193" s="196"/>
      <c r="M193" s="196"/>
      <c r="N193" s="197"/>
      <c r="T193" s="128"/>
    </row>
    <row r="194" spans="2:24" ht="12.75" customHeight="1" x14ac:dyDescent="0.25">
      <c r="C194" s="193"/>
      <c r="D194" s="200" t="s">
        <v>1340</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1333</v>
      </c>
      <c r="X194" s="102" t="b">
        <f>M180=FALSE</f>
        <v>0</v>
      </c>
    </row>
    <row r="195" spans="2:24" ht="12.75" customHeight="1" x14ac:dyDescent="0.25">
      <c r="C195" s="193"/>
      <c r="D195" s="198" t="s">
        <v>1238</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x14ac:dyDescent="0.25">
      <c r="C196" s="193"/>
      <c r="D196" s="198" t="s">
        <v>1239</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x14ac:dyDescent="0.25">
      <c r="C197" s="193"/>
      <c r="D197" s="198" t="s">
        <v>1240</v>
      </c>
      <c r="E197" s="202" t="str">
        <f>Translations!$B$272</f>
        <v>Source of the emission factor</v>
      </c>
      <c r="F197" s="202"/>
      <c r="G197" s="202"/>
      <c r="H197" s="202"/>
      <c r="I197" s="202"/>
      <c r="J197" s="202"/>
      <c r="K197" s="302" t="s">
        <v>1329</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x14ac:dyDescent="0.25">
      <c r="C198" s="193"/>
      <c r="D198" s="205"/>
      <c r="E198" s="199"/>
      <c r="F198" s="196"/>
      <c r="G198" s="196"/>
      <c r="H198" s="196"/>
      <c r="I198" s="196"/>
      <c r="J198" s="196"/>
      <c r="K198" s="196"/>
      <c r="L198" s="196"/>
      <c r="M198" s="196"/>
      <c r="N198" s="197"/>
      <c r="T198" s="128"/>
    </row>
    <row r="199" spans="2:24" ht="12.75" customHeight="1" x14ac:dyDescent="0.25">
      <c r="C199" s="193"/>
      <c r="D199" s="205"/>
      <c r="E199" s="199"/>
      <c r="F199" s="196"/>
      <c r="G199" s="196"/>
      <c r="H199" s="196"/>
      <c r="I199" s="196"/>
      <c r="J199" s="196"/>
      <c r="K199" s="196"/>
      <c r="L199" s="196"/>
      <c r="M199" s="196"/>
      <c r="N199" s="197"/>
      <c r="T199" s="128"/>
    </row>
    <row r="200" spans="2:24" ht="12.75" customHeight="1" x14ac:dyDescent="0.25">
      <c r="C200" s="193"/>
      <c r="D200" s="200" t="s">
        <v>1341</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x14ac:dyDescent="0.25">
      <c r="C201" s="193"/>
      <c r="D201" s="198" t="s">
        <v>1238</v>
      </c>
      <c r="E201" s="202" t="str">
        <f>Translations!$B$274</f>
        <v>Amounts exported</v>
      </c>
      <c r="F201" s="202"/>
      <c r="G201" s="202"/>
      <c r="H201" s="202"/>
      <c r="I201" s="202"/>
      <c r="J201" s="202"/>
      <c r="K201" s="207" t="s">
        <v>1342</v>
      </c>
      <c r="L201" s="215"/>
      <c r="M201" s="196"/>
      <c r="N201" s="197"/>
      <c r="O201" s="161"/>
      <c r="T201" s="128"/>
      <c r="V201" s="162" t="str">
        <f>IF(L141&lt;&gt;"",IF(L201&lt;&gt;"",TRUE,CONST_ErrorOrMissing&amp;C141),CONST_NA)</f>
        <v>n.a.</v>
      </c>
    </row>
    <row r="202" spans="2:24" ht="12.75" customHeight="1" x14ac:dyDescent="0.25">
      <c r="C202" s="193"/>
      <c r="D202" s="198" t="s">
        <v>1239</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x14ac:dyDescent="0.3">
      <c r="C203" s="208"/>
      <c r="D203" s="209"/>
      <c r="E203" s="210"/>
      <c r="F203" s="211"/>
      <c r="G203" s="211"/>
      <c r="H203" s="211"/>
      <c r="I203" s="211"/>
      <c r="J203" s="211"/>
      <c r="K203" s="211"/>
      <c r="L203" s="211"/>
      <c r="M203" s="211"/>
      <c r="N203" s="212"/>
      <c r="T203" s="128"/>
    </row>
    <row r="204" spans="2:24" ht="12.75" customHeight="1" thickBot="1" x14ac:dyDescent="0.3">
      <c r="T204" s="128"/>
    </row>
    <row r="205" spans="2:24" ht="12.75" customHeight="1" thickBot="1" x14ac:dyDescent="0.3">
      <c r="B205" s="150"/>
      <c r="C205" s="150"/>
      <c r="D205" s="150"/>
      <c r="E205" s="150"/>
      <c r="F205" s="150"/>
      <c r="G205" s="150"/>
      <c r="H205" s="150"/>
      <c r="I205" s="150"/>
      <c r="J205" s="150"/>
      <c r="K205" s="150"/>
      <c r="L205" s="150"/>
      <c r="M205" s="150"/>
      <c r="N205" s="150"/>
      <c r="O205" s="150"/>
      <c r="T205" s="128"/>
    </row>
    <row r="206" spans="2:24" ht="18" customHeight="1" thickBot="1" x14ac:dyDescent="0.3">
      <c r="C206" s="152">
        <f>C141+1</f>
        <v>4</v>
      </c>
      <c r="D206" s="153" t="str">
        <f>CONST_ProductionProcess &amp; " " &amp; C206 &amp; ":"</f>
        <v>Production process 4:</v>
      </c>
      <c r="G206" s="1191" t="str">
        <f>IF(INDEX(CNTR_List_ExistProdProcNames,R206)=CONST_NA,"",INDEX(CNTR_List_ExistProdProcNames,R206))</f>
        <v/>
      </c>
      <c r="H206" s="1192"/>
      <c r="I206" s="1192"/>
      <c r="J206" s="1192"/>
      <c r="K206" s="1193"/>
      <c r="L206" s="1194" t="str">
        <f>IF(INDEX(CNTR_List_ExistProdProc,R206)=CONST_NA,"",INDEX(CNTR_List_ExistProdProc,R206))</f>
        <v/>
      </c>
      <c r="M206" s="1195"/>
      <c r="N206" s="1196"/>
      <c r="R206" s="154">
        <f>C206</f>
        <v>4</v>
      </c>
      <c r="T206" s="128"/>
      <c r="W206" s="104" t="s">
        <v>1330</v>
      </c>
      <c r="X206" s="155" t="b">
        <f>AND(CNTR_HasEntriesA,G206="")</f>
        <v>0</v>
      </c>
    </row>
    <row r="207" spans="2:24" ht="5.0999999999999996" customHeight="1" x14ac:dyDescent="0.25">
      <c r="D207" s="103"/>
      <c r="E207" s="98"/>
      <c r="T207" s="128"/>
    </row>
    <row r="208" spans="2:24" ht="12.75" customHeight="1" x14ac:dyDescent="0.25">
      <c r="D208" s="103"/>
      <c r="E208" s="1172" t="str">
        <f ca="1">HYPERLINK("#"&amp;ADDRESS(MATCH($S208,G_FurtherGuidance!$S:$S,0),3,,,G_FurtherGuidance!$U$2),CONST_LinkToGuidanceSheet)</f>
        <v>Please click on this link for further guidance on how to complete this section.</v>
      </c>
      <c r="F208" s="1172"/>
      <c r="G208" s="1172"/>
      <c r="H208" s="1172"/>
      <c r="I208" s="1172"/>
      <c r="J208" s="1172"/>
      <c r="K208" s="1172"/>
      <c r="L208" s="1172"/>
      <c r="M208" s="1172"/>
      <c r="R208" s="104" t="s">
        <v>1320</v>
      </c>
      <c r="S208" s="105">
        <v>3</v>
      </c>
      <c r="T208" s="128"/>
    </row>
    <row r="209" spans="4:22" ht="5.0999999999999996" customHeight="1" x14ac:dyDescent="0.25">
      <c r="D209" s="103"/>
      <c r="E209" s="98"/>
      <c r="T209" s="128"/>
    </row>
    <row r="210" spans="4:22" ht="12.75" customHeight="1" x14ac:dyDescent="0.25">
      <c r="D210" s="120" t="s">
        <v>1331</v>
      </c>
      <c r="E210" s="98" t="str">
        <f>Translations!$B$243</f>
        <v>Total production levels:</v>
      </c>
      <c r="H210" s="156" t="str">
        <f>Translations!$B$244</f>
        <v>Production route</v>
      </c>
      <c r="K210" s="157" t="str">
        <f>Translations!$B$221</f>
        <v>Unit</v>
      </c>
      <c r="L210" s="157" t="str">
        <f>Translations!$B$245</f>
        <v>Amounts</v>
      </c>
      <c r="T210" s="128"/>
    </row>
    <row r="211" spans="4:22" ht="12.75" customHeight="1" x14ac:dyDescent="0.25">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x14ac:dyDescent="0.25">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x14ac:dyDescent="0.25">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x14ac:dyDescent="0.25">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x14ac:dyDescent="0.25">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x14ac:dyDescent="0.25">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x14ac:dyDescent="0.25">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x14ac:dyDescent="0.25">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x14ac:dyDescent="0.25">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x14ac:dyDescent="0.25">
      <c r="D220" s="137"/>
      <c r="E220" s="98"/>
      <c r="T220" s="128"/>
    </row>
    <row r="221" spans="4:22" ht="12.75" customHeight="1" x14ac:dyDescent="0.25">
      <c r="D221" s="120" t="s">
        <v>1253</v>
      </c>
      <c r="E221" s="98" t="str">
        <f>Translations!$B$247</f>
        <v>Production details</v>
      </c>
      <c r="F221" s="98"/>
      <c r="G221" s="98"/>
      <c r="H221" s="120"/>
      <c r="K221" s="120" t="str">
        <f>Translations!$B$221</f>
        <v>Unit</v>
      </c>
      <c r="L221" s="120" t="str">
        <f>Translations!$B$245</f>
        <v>Amounts</v>
      </c>
      <c r="T221" s="128"/>
    </row>
    <row r="222" spans="4:22" ht="12.75" customHeight="1" x14ac:dyDescent="0.25">
      <c r="D222" s="137" t="s">
        <v>1238</v>
      </c>
      <c r="E222" s="143" t="str">
        <f>Translations!$B$248</f>
        <v>Produced for the market</v>
      </c>
      <c r="F222" s="143"/>
      <c r="G222" s="143"/>
      <c r="H222" s="143"/>
      <c r="I222" s="143"/>
      <c r="J222" s="143"/>
      <c r="K222" s="171" t="str">
        <f>K211</f>
        <v/>
      </c>
      <c r="L222" s="213"/>
      <c r="O222" s="161"/>
      <c r="R222" s="102" t="str">
        <f>CONST_GoodToMarket&amp;G206</f>
        <v>ToMarket_</v>
      </c>
      <c r="T222" s="127" t="str">
        <f>IF($G$11="","",L222)</f>
        <v/>
      </c>
      <c r="V222" s="162" t="str">
        <f>IF(AND(G206&lt;&gt;"",L222&lt;&gt;""),TRUE,IF(AND(G206&lt;&gt;"",OR(L222="",L211&lt;&gt;"")),CONST_ErrorOrMissing&amp;C206,CONST_NA))</f>
        <v>n.a.</v>
      </c>
    </row>
    <row r="223" spans="4:22" ht="12.75" customHeight="1" x14ac:dyDescent="0.25">
      <c r="D223" s="137" t="s">
        <v>1239</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x14ac:dyDescent="0.25">
      <c r="D224" s="137" t="s">
        <v>1240</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x14ac:dyDescent="0.25">
      <c r="D225" s="137"/>
      <c r="E225" s="98"/>
      <c r="T225" s="128"/>
    </row>
    <row r="226" spans="3:24" ht="12.75" customHeight="1" x14ac:dyDescent="0.25">
      <c r="D226" s="120" t="s">
        <v>1254</v>
      </c>
      <c r="E226" s="98" t="str">
        <f>Translations!$B$251</f>
        <v>Consumed in other 'production processes' within the installation:</v>
      </c>
      <c r="F226" s="98"/>
      <c r="G226" s="98"/>
      <c r="H226" s="98"/>
      <c r="I226" s="98"/>
      <c r="J226" s="98"/>
      <c r="K226" s="120" t="str">
        <f>Translations!$B$221</f>
        <v>Unit</v>
      </c>
      <c r="L226" s="120" t="str">
        <f>Translations!$B$245</f>
        <v>Amounts</v>
      </c>
      <c r="S226" s="126" t="s">
        <v>1332</v>
      </c>
      <c r="T226" s="128"/>
      <c r="W226" s="104" t="s">
        <v>1333</v>
      </c>
      <c r="X226" s="102" t="b">
        <f>IF(G206="",FALSE,L224)</f>
        <v>0</v>
      </c>
    </row>
    <row r="227" spans="3:24" ht="12.75" customHeight="1" x14ac:dyDescent="0.25">
      <c r="D227" s="174">
        <v>1</v>
      </c>
      <c r="E227" s="175" t="str">
        <f t="shared" ref="E227:E235" si="14">IF(INDEX(CNTR_List_ExistProdProcNames,S227)=CONST_NA,"",INDEX(CNTR_List_ExistProdProcNames,S227))</f>
        <v/>
      </c>
      <c r="F227" s="176"/>
      <c r="G227" s="176"/>
      <c r="H227" s="176"/>
      <c r="I227" s="176"/>
      <c r="J227" s="177"/>
      <c r="K227" s="160" t="str">
        <f>K211</f>
        <v/>
      </c>
      <c r="L227" s="28"/>
      <c r="O227" s="161"/>
      <c r="R227" s="102" t="str">
        <f>CONST_PrecursorToGoodInput&amp;G206 &amp;"_"&amp;E227</f>
        <v>PrecToGood__</v>
      </c>
      <c r="S227" s="105">
        <f>MAX(S226:S226)+IF(D227=C206,2,1)</f>
        <v>1</v>
      </c>
      <c r="T227" s="127" t="str">
        <f>IF(G206="","",L227)</f>
        <v/>
      </c>
      <c r="V227" s="162" t="str">
        <f>IF(AND(G206&lt;&gt;"",E227&lt;&gt;"",L227&lt;&gt;""),TRUE,IF(AND(G206&lt;&gt;"",E227&lt;&gt;"",L227="",X227=FALSE),CONST_ErrorOrMissing&amp;C206,CONST_NA))</f>
        <v>n.a.</v>
      </c>
      <c r="W227" s="104" t="s">
        <v>1333</v>
      </c>
      <c r="X227" s="102" t="b">
        <f>IF(G206="",FALSE,OR(L224,E227=""))</f>
        <v>0</v>
      </c>
    </row>
    <row r="228" spans="3:24" ht="12.75" customHeight="1" x14ac:dyDescent="0.25">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x14ac:dyDescent="0.25">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x14ac:dyDescent="0.25">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x14ac:dyDescent="0.25">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x14ac:dyDescent="0.25">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x14ac:dyDescent="0.25">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x14ac:dyDescent="0.25">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x14ac:dyDescent="0.25">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x14ac:dyDescent="0.25">
      <c r="D236" s="120" t="s">
        <v>1334</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1333</v>
      </c>
      <c r="X236" s="102" t="b">
        <f>IF(G206="",FALSE,L224)</f>
        <v>0</v>
      </c>
    </row>
    <row r="237" spans="3:24" ht="12.75" customHeight="1" x14ac:dyDescent="0.25">
      <c r="D237" s="120" t="s">
        <v>1335</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x14ac:dyDescent="0.3">
      <c r="T238" s="128"/>
    </row>
    <row r="239" spans="3:24" ht="12.75" customHeight="1" x14ac:dyDescent="0.25">
      <c r="C239" s="188"/>
      <c r="D239" s="189"/>
      <c r="E239" s="190"/>
      <c r="F239" s="191"/>
      <c r="G239" s="191"/>
      <c r="H239" s="191"/>
      <c r="I239" s="191"/>
      <c r="J239" s="191"/>
      <c r="K239" s="191"/>
      <c r="L239" s="191"/>
      <c r="M239" s="191"/>
      <c r="N239" s="192"/>
      <c r="T239" s="128"/>
    </row>
    <row r="240" spans="3:24" ht="15" customHeight="1" x14ac:dyDescent="0.25">
      <c r="C240" s="193"/>
      <c r="D240" s="194" t="str">
        <f>Translations!$B$254</f>
        <v>Calculation of the attributed emissions:</v>
      </c>
      <c r="E240" s="195"/>
      <c r="F240" s="196"/>
      <c r="G240" s="196"/>
      <c r="H240" s="196"/>
      <c r="I240" s="196"/>
      <c r="J240" s="1190" t="str">
        <f>IF(G206="","",G206)</f>
        <v/>
      </c>
      <c r="K240" s="1190"/>
      <c r="L240" s="1190"/>
      <c r="M240" s="1190"/>
      <c r="N240" s="197"/>
      <c r="T240" s="128"/>
    </row>
    <row r="241" spans="3:24" ht="5.0999999999999996" customHeight="1" x14ac:dyDescent="0.25">
      <c r="C241" s="193"/>
      <c r="D241" s="198"/>
      <c r="E241" s="199"/>
      <c r="F241" s="196"/>
      <c r="G241" s="196"/>
      <c r="H241" s="196"/>
      <c r="I241" s="196"/>
      <c r="J241" s="196"/>
      <c r="K241" s="196"/>
      <c r="L241" s="196"/>
      <c r="M241" s="196"/>
      <c r="N241" s="197"/>
      <c r="T241" s="128"/>
    </row>
    <row r="242" spans="3:24" ht="12.75" customHeight="1" x14ac:dyDescent="0.25">
      <c r="C242" s="193"/>
      <c r="D242" s="200"/>
      <c r="E242" s="1172" t="str">
        <f ca="1">HYPERLINK("#"&amp;ADDRESS(MATCH($S242,G_FurtherGuidance!$S:$S,0),3,,,G_FurtherGuidance!$U$2),CONST_LinkToGuidanceSheet)</f>
        <v>Please click on this link for further guidance on how to complete this section.</v>
      </c>
      <c r="F242" s="1172"/>
      <c r="G242" s="1172"/>
      <c r="H242" s="1172"/>
      <c r="I242" s="1172"/>
      <c r="J242" s="1172"/>
      <c r="K242" s="1172"/>
      <c r="L242" s="1172"/>
      <c r="M242" s="1172"/>
      <c r="N242" s="203"/>
      <c r="R242" s="104" t="s">
        <v>1320</v>
      </c>
      <c r="S242" s="105">
        <v>3</v>
      </c>
      <c r="T242" s="128"/>
    </row>
    <row r="243" spans="3:24" ht="5.0999999999999996" customHeight="1" x14ac:dyDescent="0.25">
      <c r="C243" s="193"/>
      <c r="D243" s="198"/>
      <c r="E243" s="199"/>
      <c r="F243" s="196"/>
      <c r="G243" s="196"/>
      <c r="H243" s="196"/>
      <c r="I243" s="196"/>
      <c r="J243" s="199"/>
      <c r="K243" s="196"/>
      <c r="L243" s="196"/>
      <c r="M243" s="196"/>
      <c r="N243" s="197"/>
      <c r="T243" s="128"/>
      <c r="X243" s="104"/>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x14ac:dyDescent="0.25">
      <c r="C245" s="193"/>
      <c r="D245" s="200" t="s">
        <v>1336</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x14ac:dyDescent="0.25">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x14ac:dyDescent="0.25">
      <c r="C247" s="193"/>
      <c r="D247" s="205"/>
      <c r="E247" s="199"/>
      <c r="F247" s="196"/>
      <c r="G247" s="196"/>
      <c r="H247" s="196"/>
      <c r="I247" s="196"/>
      <c r="J247" s="196"/>
      <c r="K247" s="199"/>
      <c r="L247" s="196"/>
      <c r="M247" s="196"/>
      <c r="N247" s="197"/>
      <c r="T247" s="128"/>
      <c r="X247" s="104"/>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x14ac:dyDescent="0.25">
      <c r="C249" s="193"/>
      <c r="D249" s="200" t="s">
        <v>1337</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x14ac:dyDescent="0.25">
      <c r="C250" s="193"/>
      <c r="D250" s="205"/>
      <c r="E250" s="199"/>
      <c r="F250" s="196"/>
      <c r="G250" s="196"/>
      <c r="H250" s="196"/>
      <c r="I250" s="196"/>
      <c r="J250" s="196"/>
      <c r="K250" s="196"/>
      <c r="L250" s="200"/>
      <c r="M250" s="200"/>
      <c r="N250" s="197"/>
      <c r="T250" s="128"/>
    </row>
    <row r="251" spans="3:24" ht="12.75" customHeight="1" x14ac:dyDescent="0.25">
      <c r="C251" s="193"/>
      <c r="D251" s="200" t="s">
        <v>1338</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1333</v>
      </c>
      <c r="X251" s="102" t="b">
        <f>AND(K245&lt;&gt;"",K245=FALSE)</f>
        <v>0</v>
      </c>
    </row>
    <row r="252" spans="3:24" ht="12.75" customHeight="1" x14ac:dyDescent="0.25">
      <c r="C252" s="193"/>
      <c r="D252" s="198" t="s">
        <v>1238</v>
      </c>
      <c r="E252" s="202" t="str">
        <f>Translations!$B$265</f>
        <v>Amount of net measurable heat</v>
      </c>
      <c r="F252" s="202"/>
      <c r="G252" s="202"/>
      <c r="H252" s="202"/>
      <c r="I252" s="202"/>
      <c r="J252" s="202"/>
      <c r="K252" s="207" t="s">
        <v>444</v>
      </c>
      <c r="L252" s="215"/>
      <c r="M252" s="215"/>
      <c r="N252" s="197"/>
      <c r="O252" s="161"/>
      <c r="T252" s="128"/>
      <c r="V252" s="162" t="str">
        <f>IF(AND(L206&lt;&gt;"",X252=FALSE),IF(COUNTA(L252:M252)=2,TRUE,CONST_ErrorOrMissing&amp;C206),CONST_NA)</f>
        <v>n.a.</v>
      </c>
      <c r="X252" s="102" t="b">
        <f>X251</f>
        <v>0</v>
      </c>
    </row>
    <row r="253" spans="3:24" ht="12.75" customHeight="1" x14ac:dyDescent="0.25">
      <c r="C253" s="193"/>
      <c r="D253" s="198" t="s">
        <v>1239</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x14ac:dyDescent="0.25">
      <c r="C254" s="193"/>
      <c r="D254" s="205"/>
      <c r="E254" s="199"/>
      <c r="F254" s="196"/>
      <c r="G254" s="196"/>
      <c r="H254" s="196"/>
      <c r="I254" s="196"/>
      <c r="J254" s="196"/>
      <c r="K254" s="196"/>
      <c r="L254" s="200"/>
      <c r="M254" s="200"/>
      <c r="N254" s="197"/>
      <c r="T254" s="128"/>
    </row>
    <row r="255" spans="3:24" ht="12.75" customHeight="1" x14ac:dyDescent="0.25">
      <c r="C255" s="193"/>
      <c r="D255" s="200" t="s">
        <v>1339</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1333</v>
      </c>
      <c r="X255" s="102" t="b">
        <f>AND(L245&lt;&gt;"",L245=FALSE)</f>
        <v>0</v>
      </c>
    </row>
    <row r="256" spans="3:24" ht="12.75" customHeight="1" x14ac:dyDescent="0.25">
      <c r="C256" s="193"/>
      <c r="D256" s="198" t="s">
        <v>1238</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x14ac:dyDescent="0.25">
      <c r="C257" s="193"/>
      <c r="D257" s="198" t="s">
        <v>1239</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x14ac:dyDescent="0.25">
      <c r="C258" s="193"/>
      <c r="D258" s="205"/>
      <c r="E258" s="199"/>
      <c r="F258" s="196"/>
      <c r="G258" s="196"/>
      <c r="H258" s="196"/>
      <c r="I258" s="196"/>
      <c r="J258" s="196"/>
      <c r="K258" s="196"/>
      <c r="L258" s="196"/>
      <c r="M258" s="196"/>
      <c r="N258" s="197"/>
      <c r="T258" s="128"/>
    </row>
    <row r="259" spans="2:24" ht="12.75" customHeight="1" x14ac:dyDescent="0.25">
      <c r="C259" s="193"/>
      <c r="D259" s="200" t="s">
        <v>1340</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1333</v>
      </c>
      <c r="X259" s="102" t="b">
        <f>M245=FALSE</f>
        <v>0</v>
      </c>
    </row>
    <row r="260" spans="2:24" ht="12.75" customHeight="1" x14ac:dyDescent="0.25">
      <c r="C260" s="193"/>
      <c r="D260" s="198" t="s">
        <v>1238</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x14ac:dyDescent="0.25">
      <c r="C261" s="193"/>
      <c r="D261" s="198" t="s">
        <v>1239</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x14ac:dyDescent="0.25">
      <c r="C262" s="193"/>
      <c r="D262" s="198" t="s">
        <v>1240</v>
      </c>
      <c r="E262" s="202" t="str">
        <f>Translations!$B$272</f>
        <v>Source of the emission factor</v>
      </c>
      <c r="F262" s="202"/>
      <c r="G262" s="202"/>
      <c r="H262" s="202"/>
      <c r="I262" s="202"/>
      <c r="J262" s="202"/>
      <c r="K262" s="302" t="s">
        <v>1329</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x14ac:dyDescent="0.25">
      <c r="C263" s="193"/>
      <c r="D263" s="205"/>
      <c r="E263" s="199"/>
      <c r="F263" s="196"/>
      <c r="G263" s="196"/>
      <c r="H263" s="196"/>
      <c r="I263" s="196"/>
      <c r="J263" s="196"/>
      <c r="K263" s="196"/>
      <c r="L263" s="196"/>
      <c r="M263" s="196"/>
      <c r="N263" s="197"/>
      <c r="T263" s="128"/>
    </row>
    <row r="264" spans="2:24" ht="12.75" customHeight="1" x14ac:dyDescent="0.25">
      <c r="C264" s="193"/>
      <c r="D264" s="205"/>
      <c r="E264" s="199"/>
      <c r="F264" s="196"/>
      <c r="G264" s="196"/>
      <c r="H264" s="196"/>
      <c r="I264" s="196"/>
      <c r="J264" s="196"/>
      <c r="K264" s="196"/>
      <c r="L264" s="196"/>
      <c r="M264" s="196"/>
      <c r="N264" s="197"/>
      <c r="T264" s="128"/>
    </row>
    <row r="265" spans="2:24" ht="12.75" customHeight="1" x14ac:dyDescent="0.25">
      <c r="C265" s="193"/>
      <c r="D265" s="200" t="s">
        <v>1341</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x14ac:dyDescent="0.25">
      <c r="C266" s="193"/>
      <c r="D266" s="198" t="s">
        <v>1238</v>
      </c>
      <c r="E266" s="202" t="str">
        <f>Translations!$B$274</f>
        <v>Amounts exported</v>
      </c>
      <c r="F266" s="202"/>
      <c r="G266" s="202"/>
      <c r="H266" s="202"/>
      <c r="I266" s="202"/>
      <c r="J266" s="202"/>
      <c r="K266" s="207" t="s">
        <v>1342</v>
      </c>
      <c r="L266" s="215"/>
      <c r="M266" s="196"/>
      <c r="N266" s="197"/>
      <c r="O266" s="161"/>
      <c r="T266" s="128"/>
      <c r="V266" s="162" t="str">
        <f>IF(L206&lt;&gt;"",IF(L266&lt;&gt;"",TRUE,CONST_ErrorOrMissing&amp;C206),CONST_NA)</f>
        <v>n.a.</v>
      </c>
    </row>
    <row r="267" spans="2:24" ht="12.75" customHeight="1" x14ac:dyDescent="0.25">
      <c r="C267" s="193"/>
      <c r="D267" s="198" t="s">
        <v>1239</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x14ac:dyDescent="0.3">
      <c r="C268" s="208"/>
      <c r="D268" s="209"/>
      <c r="E268" s="210"/>
      <c r="F268" s="211"/>
      <c r="G268" s="211"/>
      <c r="H268" s="211"/>
      <c r="I268" s="211"/>
      <c r="J268" s="211"/>
      <c r="K268" s="211"/>
      <c r="L268" s="211"/>
      <c r="M268" s="211"/>
      <c r="N268" s="212"/>
      <c r="T268" s="128"/>
    </row>
    <row r="269" spans="2:24" ht="12.75" customHeight="1" thickBot="1" x14ac:dyDescent="0.3">
      <c r="T269" s="128"/>
    </row>
    <row r="270" spans="2:24" ht="12.75" customHeight="1" thickBot="1" x14ac:dyDescent="0.3">
      <c r="B270" s="150"/>
      <c r="C270" s="150"/>
      <c r="D270" s="150"/>
      <c r="E270" s="150"/>
      <c r="F270" s="150"/>
      <c r="G270" s="150"/>
      <c r="H270" s="150"/>
      <c r="I270" s="150"/>
      <c r="J270" s="150"/>
      <c r="K270" s="150"/>
      <c r="L270" s="150"/>
      <c r="M270" s="150"/>
      <c r="N270" s="150"/>
      <c r="O270" s="150"/>
      <c r="T270" s="128"/>
    </row>
    <row r="271" spans="2:24" ht="18" customHeight="1" thickBot="1" x14ac:dyDescent="0.3">
      <c r="C271" s="152">
        <f>C206+1</f>
        <v>5</v>
      </c>
      <c r="D271" s="153" t="str">
        <f>CONST_ProductionProcess &amp; " " &amp; C271 &amp; ":"</f>
        <v>Production process 5:</v>
      </c>
      <c r="G271" s="1191" t="str">
        <f>IF(INDEX(CNTR_List_ExistProdProcNames,R271)=CONST_NA,"",INDEX(CNTR_List_ExistProdProcNames,R271))</f>
        <v/>
      </c>
      <c r="H271" s="1192"/>
      <c r="I271" s="1192"/>
      <c r="J271" s="1192"/>
      <c r="K271" s="1193"/>
      <c r="L271" s="1194" t="str">
        <f>IF(INDEX(CNTR_List_ExistProdProc,R271)=CONST_NA,"",INDEX(CNTR_List_ExistProdProc,R271))</f>
        <v/>
      </c>
      <c r="M271" s="1195"/>
      <c r="N271" s="1196"/>
      <c r="R271" s="154">
        <f>C271</f>
        <v>5</v>
      </c>
      <c r="T271" s="128"/>
      <c r="W271" s="104" t="s">
        <v>1330</v>
      </c>
      <c r="X271" s="155" t="b">
        <f>AND(CNTR_HasEntriesA,G271="")</f>
        <v>0</v>
      </c>
    </row>
    <row r="272" spans="2:24" ht="5.0999999999999996" customHeight="1" x14ac:dyDescent="0.25">
      <c r="D272" s="103"/>
      <c r="E272" s="98"/>
      <c r="T272" s="128"/>
    </row>
    <row r="273" spans="4:22" ht="12.75" customHeight="1" x14ac:dyDescent="0.25">
      <c r="D273" s="103"/>
      <c r="E273" s="1172" t="str">
        <f ca="1">HYPERLINK("#"&amp;ADDRESS(MATCH($S273,G_FurtherGuidance!$S:$S,0),3,,,G_FurtherGuidance!$U$2),CONST_LinkToGuidanceSheet)</f>
        <v>Please click on this link for further guidance on how to complete this section.</v>
      </c>
      <c r="F273" s="1172"/>
      <c r="G273" s="1172"/>
      <c r="H273" s="1172"/>
      <c r="I273" s="1172"/>
      <c r="J273" s="1172"/>
      <c r="K273" s="1172"/>
      <c r="L273" s="1172"/>
      <c r="M273" s="1172"/>
      <c r="R273" s="104" t="s">
        <v>1320</v>
      </c>
      <c r="S273" s="105">
        <v>3</v>
      </c>
      <c r="T273" s="128"/>
    </row>
    <row r="274" spans="4:22" ht="5.0999999999999996" customHeight="1" x14ac:dyDescent="0.25">
      <c r="D274" s="103"/>
      <c r="E274" s="98"/>
      <c r="T274" s="128"/>
    </row>
    <row r="275" spans="4:22" ht="12.75" customHeight="1" x14ac:dyDescent="0.25">
      <c r="D275" s="120" t="s">
        <v>1331</v>
      </c>
      <c r="E275" s="98" t="str">
        <f>Translations!$B$243</f>
        <v>Total production levels:</v>
      </c>
      <c r="H275" s="156" t="str">
        <f>Translations!$B$244</f>
        <v>Production route</v>
      </c>
      <c r="K275" s="157" t="str">
        <f>Translations!$B$221</f>
        <v>Unit</v>
      </c>
      <c r="L275" s="157" t="str">
        <f>Translations!$B$245</f>
        <v>Amounts</v>
      </c>
      <c r="T275" s="128"/>
    </row>
    <row r="276" spans="4:22" ht="12.75" customHeight="1" x14ac:dyDescent="0.25">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x14ac:dyDescent="0.25">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x14ac:dyDescent="0.25">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x14ac:dyDescent="0.25">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x14ac:dyDescent="0.25">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x14ac:dyDescent="0.25">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x14ac:dyDescent="0.25">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x14ac:dyDescent="0.25">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x14ac:dyDescent="0.25">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x14ac:dyDescent="0.25">
      <c r="D285" s="137"/>
      <c r="E285" s="98"/>
      <c r="T285" s="128"/>
    </row>
    <row r="286" spans="4:22" ht="12.75" customHeight="1" x14ac:dyDescent="0.25">
      <c r="D286" s="120" t="s">
        <v>1253</v>
      </c>
      <c r="E286" s="98" t="str">
        <f>Translations!$B$247</f>
        <v>Production details</v>
      </c>
      <c r="F286" s="98"/>
      <c r="G286" s="98"/>
      <c r="H286" s="120"/>
      <c r="K286" s="120" t="str">
        <f>Translations!$B$221</f>
        <v>Unit</v>
      </c>
      <c r="L286" s="120" t="str">
        <f>Translations!$B$245</f>
        <v>Amounts</v>
      </c>
      <c r="T286" s="128"/>
    </row>
    <row r="287" spans="4:22" ht="12.75" customHeight="1" x14ac:dyDescent="0.25">
      <c r="D287" s="137" t="s">
        <v>1238</v>
      </c>
      <c r="E287" s="143" t="str">
        <f>Translations!$B$248</f>
        <v>Produced for the market</v>
      </c>
      <c r="F287" s="143"/>
      <c r="G287" s="143"/>
      <c r="H287" s="143"/>
      <c r="I287" s="143"/>
      <c r="J287" s="143"/>
      <c r="K287" s="171" t="str">
        <f>K276</f>
        <v/>
      </c>
      <c r="L287" s="213"/>
      <c r="O287" s="161"/>
      <c r="R287" s="102" t="str">
        <f>CONST_GoodToMarket&amp;G271</f>
        <v>ToMarket_</v>
      </c>
      <c r="T287" s="127" t="str">
        <f>IF($G$11="","",L287)</f>
        <v/>
      </c>
      <c r="V287" s="162" t="str">
        <f>IF(AND(G271&lt;&gt;"",L287&lt;&gt;""),TRUE,IF(AND(G271&lt;&gt;"",OR(L287="",L276&lt;&gt;"")),CONST_ErrorOrMissing&amp;C271,CONST_NA))</f>
        <v>n.a.</v>
      </c>
    </row>
    <row r="288" spans="4:22" ht="12.75" customHeight="1" x14ac:dyDescent="0.25">
      <c r="D288" s="137" t="s">
        <v>1239</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x14ac:dyDescent="0.25">
      <c r="D289" s="137" t="s">
        <v>1240</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x14ac:dyDescent="0.25">
      <c r="D290" s="137"/>
      <c r="E290" s="98"/>
      <c r="T290" s="128"/>
    </row>
    <row r="291" spans="3:24" ht="12.75" customHeight="1" x14ac:dyDescent="0.25">
      <c r="D291" s="120" t="s">
        <v>1254</v>
      </c>
      <c r="E291" s="98" t="str">
        <f>Translations!$B$251</f>
        <v>Consumed in other 'production processes' within the installation:</v>
      </c>
      <c r="F291" s="98"/>
      <c r="G291" s="98"/>
      <c r="H291" s="98"/>
      <c r="I291" s="98"/>
      <c r="J291" s="98"/>
      <c r="K291" s="120" t="str">
        <f>Translations!$B$221</f>
        <v>Unit</v>
      </c>
      <c r="L291" s="120" t="str">
        <f>Translations!$B$245</f>
        <v>Amounts</v>
      </c>
      <c r="S291" s="126" t="s">
        <v>1332</v>
      </c>
      <c r="T291" s="128"/>
      <c r="W291" s="104" t="s">
        <v>1333</v>
      </c>
      <c r="X291" s="102" t="b">
        <f>IF(G271="",FALSE,L289)</f>
        <v>0</v>
      </c>
    </row>
    <row r="292" spans="3:24" ht="12.75" customHeight="1" x14ac:dyDescent="0.25">
      <c r="D292" s="174">
        <v>1</v>
      </c>
      <c r="E292" s="175" t="str">
        <f t="shared" ref="E292:E300" si="18">IF(INDEX(CNTR_List_ExistProdProcNames,S292)=CONST_NA,"",INDEX(CNTR_List_ExistProdProcNames,S292))</f>
        <v/>
      </c>
      <c r="F292" s="176"/>
      <c r="G292" s="176"/>
      <c r="H292" s="176"/>
      <c r="I292" s="176"/>
      <c r="J292" s="177"/>
      <c r="K292" s="160" t="str">
        <f>K276</f>
        <v/>
      </c>
      <c r="L292" s="28"/>
      <c r="O292" s="161"/>
      <c r="R292" s="102" t="str">
        <f>CONST_PrecursorToGoodInput&amp;G271 &amp;"_"&amp;E292</f>
        <v>PrecToGood__</v>
      </c>
      <c r="S292" s="105">
        <f>MAX(S291:S291)+IF(D292=C271,2,1)</f>
        <v>1</v>
      </c>
      <c r="T292" s="127" t="str">
        <f>IF(G271="","",L292)</f>
        <v/>
      </c>
      <c r="V292" s="162" t="str">
        <f>IF(AND(G271&lt;&gt;"",E292&lt;&gt;"",L292&lt;&gt;""),TRUE,IF(AND(G271&lt;&gt;"",E292&lt;&gt;"",L292="",X292=FALSE),CONST_ErrorOrMissing&amp;C271,CONST_NA))</f>
        <v>n.a.</v>
      </c>
      <c r="W292" s="104" t="s">
        <v>1333</v>
      </c>
      <c r="X292" s="102" t="b">
        <f>IF(G271="",FALSE,OR(L289,E292=""))</f>
        <v>0</v>
      </c>
    </row>
    <row r="293" spans="3:24" ht="12.75" customHeight="1" x14ac:dyDescent="0.25">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x14ac:dyDescent="0.25">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x14ac:dyDescent="0.25">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x14ac:dyDescent="0.25">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x14ac:dyDescent="0.25">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x14ac:dyDescent="0.25">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x14ac:dyDescent="0.25">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x14ac:dyDescent="0.25">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x14ac:dyDescent="0.25">
      <c r="D301" s="120" t="s">
        <v>1334</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1333</v>
      </c>
      <c r="X301" s="102" t="b">
        <f>IF(G271="",FALSE,L289)</f>
        <v>0</v>
      </c>
    </row>
    <row r="302" spans="3:24" ht="12.75" customHeight="1" x14ac:dyDescent="0.25">
      <c r="D302" s="120" t="s">
        <v>1335</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x14ac:dyDescent="0.3">
      <c r="T303" s="128"/>
    </row>
    <row r="304" spans="3:24" ht="12.75" customHeight="1" x14ac:dyDescent="0.25">
      <c r="C304" s="188"/>
      <c r="D304" s="189"/>
      <c r="E304" s="190"/>
      <c r="F304" s="191"/>
      <c r="G304" s="191"/>
      <c r="H304" s="191"/>
      <c r="I304" s="191"/>
      <c r="J304" s="191"/>
      <c r="K304" s="191"/>
      <c r="L304" s="191"/>
      <c r="M304" s="191"/>
      <c r="N304" s="192"/>
      <c r="T304" s="128"/>
    </row>
    <row r="305" spans="3:24" ht="15" customHeight="1" x14ac:dyDescent="0.25">
      <c r="C305" s="193"/>
      <c r="D305" s="194" t="str">
        <f>Translations!$B$254</f>
        <v>Calculation of the attributed emissions:</v>
      </c>
      <c r="E305" s="195"/>
      <c r="F305" s="196"/>
      <c r="G305" s="196"/>
      <c r="H305" s="196"/>
      <c r="I305" s="196"/>
      <c r="J305" s="1190" t="str">
        <f>IF(G271="","",G271)</f>
        <v/>
      </c>
      <c r="K305" s="1190"/>
      <c r="L305" s="1190"/>
      <c r="M305" s="1190"/>
      <c r="N305" s="197"/>
      <c r="T305" s="128"/>
    </row>
    <row r="306" spans="3:24" ht="5.0999999999999996" customHeight="1" x14ac:dyDescent="0.25">
      <c r="C306" s="193"/>
      <c r="D306" s="198"/>
      <c r="E306" s="199"/>
      <c r="F306" s="196"/>
      <c r="G306" s="196"/>
      <c r="H306" s="196"/>
      <c r="I306" s="196"/>
      <c r="J306" s="196"/>
      <c r="K306" s="196"/>
      <c r="L306" s="196"/>
      <c r="M306" s="196"/>
      <c r="N306" s="197"/>
      <c r="T306" s="128"/>
    </row>
    <row r="307" spans="3:24" ht="12.75" customHeight="1" x14ac:dyDescent="0.25">
      <c r="C307" s="193"/>
      <c r="D307" s="200"/>
      <c r="E307" s="1172" t="str">
        <f ca="1">HYPERLINK("#"&amp;ADDRESS(MATCH($S307,G_FurtherGuidance!$S:$S,0),3,,,G_FurtherGuidance!$U$2),CONST_LinkToGuidanceSheet)</f>
        <v>Please click on this link for further guidance on how to complete this section.</v>
      </c>
      <c r="F307" s="1172"/>
      <c r="G307" s="1172"/>
      <c r="H307" s="1172"/>
      <c r="I307" s="1172"/>
      <c r="J307" s="1172"/>
      <c r="K307" s="1172"/>
      <c r="L307" s="1172"/>
      <c r="M307" s="1172"/>
      <c r="N307" s="203"/>
      <c r="R307" s="104" t="s">
        <v>1320</v>
      </c>
      <c r="S307" s="105">
        <v>3</v>
      </c>
      <c r="T307" s="128"/>
    </row>
    <row r="308" spans="3:24" ht="5.0999999999999996" customHeight="1" x14ac:dyDescent="0.25">
      <c r="C308" s="193"/>
      <c r="D308" s="198"/>
      <c r="E308" s="199"/>
      <c r="F308" s="196"/>
      <c r="G308" s="196"/>
      <c r="H308" s="196"/>
      <c r="I308" s="196"/>
      <c r="J308" s="199"/>
      <c r="K308" s="196"/>
      <c r="L308" s="196"/>
      <c r="M308" s="196"/>
      <c r="N308" s="197"/>
      <c r="T308" s="128"/>
      <c r="X308" s="104"/>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x14ac:dyDescent="0.25">
      <c r="C310" s="193"/>
      <c r="D310" s="200" t="s">
        <v>1336</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x14ac:dyDescent="0.25">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x14ac:dyDescent="0.25">
      <c r="C312" s="193"/>
      <c r="D312" s="205"/>
      <c r="E312" s="199"/>
      <c r="F312" s="196"/>
      <c r="G312" s="196"/>
      <c r="H312" s="196"/>
      <c r="I312" s="196"/>
      <c r="J312" s="196"/>
      <c r="K312" s="199"/>
      <c r="L312" s="196"/>
      <c r="M312" s="196"/>
      <c r="N312" s="197"/>
      <c r="T312" s="128"/>
      <c r="X312" s="104"/>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x14ac:dyDescent="0.25">
      <c r="C314" s="193"/>
      <c r="D314" s="200" t="s">
        <v>1337</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x14ac:dyDescent="0.25">
      <c r="C315" s="193"/>
      <c r="D315" s="205"/>
      <c r="E315" s="199"/>
      <c r="F315" s="196"/>
      <c r="G315" s="196"/>
      <c r="H315" s="196"/>
      <c r="I315" s="196"/>
      <c r="J315" s="196"/>
      <c r="K315" s="196"/>
      <c r="L315" s="200"/>
      <c r="M315" s="200"/>
      <c r="N315" s="197"/>
      <c r="T315" s="128"/>
    </row>
    <row r="316" spans="3:24" ht="12.75" customHeight="1" x14ac:dyDescent="0.25">
      <c r="C316" s="193"/>
      <c r="D316" s="200" t="s">
        <v>1338</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1333</v>
      </c>
      <c r="X316" s="102" t="b">
        <f>AND(K310&lt;&gt;"",K310=FALSE)</f>
        <v>0</v>
      </c>
    </row>
    <row r="317" spans="3:24" ht="12.75" customHeight="1" x14ac:dyDescent="0.25">
      <c r="C317" s="193"/>
      <c r="D317" s="198" t="s">
        <v>1238</v>
      </c>
      <c r="E317" s="202" t="str">
        <f>Translations!$B$265</f>
        <v>Amount of net measurable heat</v>
      </c>
      <c r="F317" s="202"/>
      <c r="G317" s="202"/>
      <c r="H317" s="202"/>
      <c r="I317" s="202"/>
      <c r="J317" s="202"/>
      <c r="K317" s="207" t="s">
        <v>444</v>
      </c>
      <c r="L317" s="215"/>
      <c r="M317" s="215"/>
      <c r="N317" s="197"/>
      <c r="O317" s="161"/>
      <c r="T317" s="128"/>
      <c r="V317" s="162" t="str">
        <f>IF(AND(L271&lt;&gt;"",X317=FALSE),IF(COUNTA(L317:M317)=2,TRUE,CONST_ErrorOrMissing&amp;C271),CONST_NA)</f>
        <v>n.a.</v>
      </c>
      <c r="X317" s="102" t="b">
        <f>X316</f>
        <v>0</v>
      </c>
    </row>
    <row r="318" spans="3:24" ht="12.75" customHeight="1" x14ac:dyDescent="0.25">
      <c r="C318" s="193"/>
      <c r="D318" s="198" t="s">
        <v>1239</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x14ac:dyDescent="0.25">
      <c r="C319" s="193"/>
      <c r="D319" s="205"/>
      <c r="E319" s="199"/>
      <c r="F319" s="196"/>
      <c r="G319" s="196"/>
      <c r="H319" s="196"/>
      <c r="I319" s="196"/>
      <c r="J319" s="196"/>
      <c r="K319" s="196"/>
      <c r="L319" s="200"/>
      <c r="M319" s="200"/>
      <c r="N319" s="197"/>
      <c r="T319" s="128"/>
    </row>
    <row r="320" spans="3:24" ht="12.75" customHeight="1" x14ac:dyDescent="0.25">
      <c r="C320" s="193"/>
      <c r="D320" s="200" t="s">
        <v>1339</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1333</v>
      </c>
      <c r="X320" s="102" t="b">
        <f>AND(L310&lt;&gt;"",L310=FALSE)</f>
        <v>0</v>
      </c>
    </row>
    <row r="321" spans="2:24" ht="12.75" customHeight="1" x14ac:dyDescent="0.25">
      <c r="C321" s="193"/>
      <c r="D321" s="198" t="s">
        <v>1238</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x14ac:dyDescent="0.25">
      <c r="C322" s="193"/>
      <c r="D322" s="198" t="s">
        <v>1239</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x14ac:dyDescent="0.25">
      <c r="C323" s="193"/>
      <c r="D323" s="205"/>
      <c r="E323" s="199"/>
      <c r="F323" s="196"/>
      <c r="G323" s="196"/>
      <c r="H323" s="196"/>
      <c r="I323" s="196"/>
      <c r="J323" s="196"/>
      <c r="K323" s="196"/>
      <c r="L323" s="196"/>
      <c r="M323" s="196"/>
      <c r="N323" s="197"/>
      <c r="T323" s="128"/>
    </row>
    <row r="324" spans="2:24" ht="12.75" customHeight="1" x14ac:dyDescent="0.25">
      <c r="C324" s="193"/>
      <c r="D324" s="200" t="s">
        <v>1340</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1333</v>
      </c>
      <c r="X324" s="102" t="b">
        <f>M310=FALSE</f>
        <v>0</v>
      </c>
    </row>
    <row r="325" spans="2:24" ht="12.75" customHeight="1" x14ac:dyDescent="0.25">
      <c r="C325" s="193"/>
      <c r="D325" s="198" t="s">
        <v>1238</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x14ac:dyDescent="0.25">
      <c r="C326" s="193"/>
      <c r="D326" s="198" t="s">
        <v>1239</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x14ac:dyDescent="0.25">
      <c r="C327" s="193"/>
      <c r="D327" s="198" t="s">
        <v>1240</v>
      </c>
      <c r="E327" s="202" t="str">
        <f>Translations!$B$272</f>
        <v>Source of the emission factor</v>
      </c>
      <c r="F327" s="202"/>
      <c r="G327" s="202"/>
      <c r="H327" s="202"/>
      <c r="I327" s="202"/>
      <c r="J327" s="202"/>
      <c r="K327" s="302" t="s">
        <v>1329</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x14ac:dyDescent="0.25">
      <c r="C328" s="193"/>
      <c r="D328" s="205"/>
      <c r="E328" s="199"/>
      <c r="F328" s="196"/>
      <c r="G328" s="196"/>
      <c r="H328" s="196"/>
      <c r="I328" s="196"/>
      <c r="J328" s="196"/>
      <c r="K328" s="196"/>
      <c r="L328" s="196"/>
      <c r="M328" s="196"/>
      <c r="N328" s="197"/>
      <c r="T328" s="128"/>
    </row>
    <row r="329" spans="2:24" ht="12.75" customHeight="1" x14ac:dyDescent="0.25">
      <c r="C329" s="193"/>
      <c r="D329" s="205"/>
      <c r="E329" s="199"/>
      <c r="F329" s="196"/>
      <c r="G329" s="196"/>
      <c r="H329" s="196"/>
      <c r="I329" s="196"/>
      <c r="J329" s="196"/>
      <c r="K329" s="196"/>
      <c r="L329" s="196"/>
      <c r="M329" s="196"/>
      <c r="N329" s="197"/>
      <c r="T329" s="128"/>
    </row>
    <row r="330" spans="2:24" ht="12.75" customHeight="1" x14ac:dyDescent="0.25">
      <c r="C330" s="193"/>
      <c r="D330" s="200" t="s">
        <v>1341</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x14ac:dyDescent="0.25">
      <c r="C331" s="193"/>
      <c r="D331" s="198" t="s">
        <v>1238</v>
      </c>
      <c r="E331" s="202" t="str">
        <f>Translations!$B$274</f>
        <v>Amounts exported</v>
      </c>
      <c r="F331" s="202"/>
      <c r="G331" s="202"/>
      <c r="H331" s="202"/>
      <c r="I331" s="202"/>
      <c r="J331" s="202"/>
      <c r="K331" s="207" t="s">
        <v>1342</v>
      </c>
      <c r="L331" s="215"/>
      <c r="M331" s="196"/>
      <c r="N331" s="197"/>
      <c r="O331" s="161"/>
      <c r="T331" s="128"/>
      <c r="V331" s="162" t="str">
        <f>IF(L271&lt;&gt;"",IF(L331&lt;&gt;"",TRUE,CONST_ErrorOrMissing&amp;C271),CONST_NA)</f>
        <v>n.a.</v>
      </c>
    </row>
    <row r="332" spans="2:24" ht="12.75" customHeight="1" x14ac:dyDescent="0.25">
      <c r="C332" s="193"/>
      <c r="D332" s="198" t="s">
        <v>1239</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x14ac:dyDescent="0.3">
      <c r="C333" s="208"/>
      <c r="D333" s="209"/>
      <c r="E333" s="210"/>
      <c r="F333" s="211"/>
      <c r="G333" s="211"/>
      <c r="H333" s="211"/>
      <c r="I333" s="211"/>
      <c r="J333" s="211"/>
      <c r="K333" s="211"/>
      <c r="L333" s="211"/>
      <c r="M333" s="211"/>
      <c r="N333" s="212"/>
      <c r="T333" s="128"/>
    </row>
    <row r="334" spans="2:24" ht="12.75" customHeight="1" thickBot="1" x14ac:dyDescent="0.3">
      <c r="T334" s="128"/>
    </row>
    <row r="335" spans="2:24" ht="12.75" customHeight="1" thickBot="1" x14ac:dyDescent="0.3">
      <c r="B335" s="150"/>
      <c r="C335" s="150"/>
      <c r="D335" s="150"/>
      <c r="E335" s="150"/>
      <c r="F335" s="150"/>
      <c r="G335" s="150"/>
      <c r="H335" s="150"/>
      <c r="I335" s="150"/>
      <c r="J335" s="150"/>
      <c r="K335" s="150"/>
      <c r="L335" s="150"/>
      <c r="M335" s="150"/>
      <c r="N335" s="150"/>
      <c r="O335" s="150"/>
      <c r="T335" s="128"/>
    </row>
    <row r="336" spans="2:24" ht="18" customHeight="1" thickBot="1" x14ac:dyDescent="0.3">
      <c r="C336" s="152">
        <f>C271+1</f>
        <v>6</v>
      </c>
      <c r="D336" s="153" t="str">
        <f>CONST_ProductionProcess &amp; " " &amp; C336 &amp; ":"</f>
        <v>Production process 6:</v>
      </c>
      <c r="G336" s="1191" t="str">
        <f>IF(INDEX(CNTR_List_ExistProdProcNames,R336)=CONST_NA,"",INDEX(CNTR_List_ExistProdProcNames,R336))</f>
        <v/>
      </c>
      <c r="H336" s="1192"/>
      <c r="I336" s="1192"/>
      <c r="J336" s="1192"/>
      <c r="K336" s="1193"/>
      <c r="L336" s="1194" t="str">
        <f>IF(INDEX(CNTR_List_ExistProdProc,R336)=CONST_NA,"",INDEX(CNTR_List_ExistProdProc,R336))</f>
        <v/>
      </c>
      <c r="M336" s="1195"/>
      <c r="N336" s="1196"/>
      <c r="R336" s="154">
        <f>C336</f>
        <v>6</v>
      </c>
      <c r="T336" s="128"/>
      <c r="W336" s="104" t="s">
        <v>1330</v>
      </c>
      <c r="X336" s="155" t="b">
        <f>AND(CNTR_HasEntriesA,G336="")</f>
        <v>0</v>
      </c>
    </row>
    <row r="337" spans="4:22" ht="5.0999999999999996" customHeight="1" x14ac:dyDescent="0.25">
      <c r="D337" s="103"/>
      <c r="E337" s="98"/>
      <c r="T337" s="128"/>
    </row>
    <row r="338" spans="4:22" ht="12.75" customHeight="1" x14ac:dyDescent="0.25">
      <c r="D338" s="103"/>
      <c r="E338" s="1172" t="str">
        <f ca="1">HYPERLINK("#"&amp;ADDRESS(MATCH($S338,G_FurtherGuidance!$S:$S,0),3,,,G_FurtherGuidance!$U$2),CONST_LinkToGuidanceSheet)</f>
        <v>Please click on this link for further guidance on how to complete this section.</v>
      </c>
      <c r="F338" s="1172"/>
      <c r="G338" s="1172"/>
      <c r="H338" s="1172"/>
      <c r="I338" s="1172"/>
      <c r="J338" s="1172"/>
      <c r="K338" s="1172"/>
      <c r="L338" s="1172"/>
      <c r="M338" s="1172"/>
      <c r="R338" s="104" t="s">
        <v>1320</v>
      </c>
      <c r="S338" s="105">
        <v>3</v>
      </c>
      <c r="T338" s="128"/>
    </row>
    <row r="339" spans="4:22" ht="5.0999999999999996" customHeight="1" x14ac:dyDescent="0.25">
      <c r="D339" s="103"/>
      <c r="E339" s="98"/>
      <c r="T339" s="128"/>
    </row>
    <row r="340" spans="4:22" ht="12.75" customHeight="1" x14ac:dyDescent="0.25">
      <c r="D340" s="120" t="s">
        <v>1331</v>
      </c>
      <c r="E340" s="98" t="str">
        <f>Translations!$B$243</f>
        <v>Total production levels:</v>
      </c>
      <c r="H340" s="156" t="str">
        <f>Translations!$B$244</f>
        <v>Production route</v>
      </c>
      <c r="K340" s="157" t="str">
        <f>Translations!$B$221</f>
        <v>Unit</v>
      </c>
      <c r="L340" s="157" t="str">
        <f>Translations!$B$245</f>
        <v>Amounts</v>
      </c>
      <c r="T340" s="128"/>
    </row>
    <row r="341" spans="4:22" ht="12.75" customHeight="1" x14ac:dyDescent="0.25">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x14ac:dyDescent="0.25">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x14ac:dyDescent="0.25">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x14ac:dyDescent="0.25">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x14ac:dyDescent="0.25">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x14ac:dyDescent="0.25">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x14ac:dyDescent="0.25">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x14ac:dyDescent="0.25">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x14ac:dyDescent="0.25">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x14ac:dyDescent="0.25">
      <c r="D350" s="137"/>
      <c r="E350" s="98"/>
      <c r="T350" s="128"/>
    </row>
    <row r="351" spans="4:22" ht="12.75" customHeight="1" x14ac:dyDescent="0.25">
      <c r="D351" s="120" t="s">
        <v>1253</v>
      </c>
      <c r="E351" s="98" t="str">
        <f>Translations!$B$247</f>
        <v>Production details</v>
      </c>
      <c r="F351" s="98"/>
      <c r="G351" s="98"/>
      <c r="H351" s="120"/>
      <c r="K351" s="120" t="str">
        <f>Translations!$B$221</f>
        <v>Unit</v>
      </c>
      <c r="L351" s="120" t="str">
        <f>Translations!$B$245</f>
        <v>Amounts</v>
      </c>
      <c r="T351" s="128"/>
    </row>
    <row r="352" spans="4:22" ht="12.75" customHeight="1" x14ac:dyDescent="0.25">
      <c r="D352" s="137" t="s">
        <v>1238</v>
      </c>
      <c r="E352" s="143" t="str">
        <f>Translations!$B$248</f>
        <v>Produced for the market</v>
      </c>
      <c r="F352" s="143"/>
      <c r="G352" s="143"/>
      <c r="H352" s="143"/>
      <c r="I352" s="143"/>
      <c r="J352" s="143"/>
      <c r="K352" s="171" t="str">
        <f>K341</f>
        <v/>
      </c>
      <c r="L352" s="213"/>
      <c r="O352" s="161"/>
      <c r="R352" s="102" t="str">
        <f>CONST_GoodToMarket&amp;G336</f>
        <v>ToMarket_</v>
      </c>
      <c r="T352" s="127" t="str">
        <f>IF($G$11="","",L352)</f>
        <v/>
      </c>
      <c r="V352" s="162" t="str">
        <f>IF(AND(G336&lt;&gt;"",L352&lt;&gt;""),TRUE,IF(AND(G336&lt;&gt;"",OR(L352="",L341&lt;&gt;"")),CONST_ErrorOrMissing&amp;C336,CONST_NA))</f>
        <v>n.a.</v>
      </c>
    </row>
    <row r="353" spans="4:24" ht="12.75" customHeight="1" x14ac:dyDescent="0.25">
      <c r="D353" s="137" t="s">
        <v>1239</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x14ac:dyDescent="0.25">
      <c r="D354" s="137" t="s">
        <v>1240</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x14ac:dyDescent="0.25">
      <c r="D355" s="137"/>
      <c r="E355" s="98"/>
      <c r="T355" s="128"/>
    </row>
    <row r="356" spans="4:24" ht="12.75" customHeight="1" x14ac:dyDescent="0.25">
      <c r="D356" s="120" t="s">
        <v>1254</v>
      </c>
      <c r="E356" s="98" t="str">
        <f>Translations!$B$251</f>
        <v>Consumed in other 'production processes' within the installation:</v>
      </c>
      <c r="F356" s="98"/>
      <c r="G356" s="98"/>
      <c r="H356" s="98"/>
      <c r="I356" s="98"/>
      <c r="J356" s="98"/>
      <c r="K356" s="120" t="str">
        <f>Translations!$B$221</f>
        <v>Unit</v>
      </c>
      <c r="L356" s="120" t="str">
        <f>Translations!$B$245</f>
        <v>Amounts</v>
      </c>
      <c r="S356" s="126" t="s">
        <v>1332</v>
      </c>
      <c r="T356" s="128"/>
      <c r="W356" s="104" t="s">
        <v>1333</v>
      </c>
      <c r="X356" s="102" t="b">
        <f>IF(G336="",FALSE,L354)</f>
        <v>0</v>
      </c>
    </row>
    <row r="357" spans="4:24" ht="12.75" customHeight="1" x14ac:dyDescent="0.25">
      <c r="D357" s="174">
        <v>1</v>
      </c>
      <c r="E357" s="175" t="str">
        <f t="shared" ref="E357:E365" si="22">IF(INDEX(CNTR_List_ExistProdProcNames,S357)=CONST_NA,"",INDEX(CNTR_List_ExistProdProcNames,S357))</f>
        <v/>
      </c>
      <c r="F357" s="176"/>
      <c r="G357" s="176"/>
      <c r="H357" s="176"/>
      <c r="I357" s="176"/>
      <c r="J357" s="177"/>
      <c r="K357" s="160" t="str">
        <f>K341</f>
        <v/>
      </c>
      <c r="L357" s="28"/>
      <c r="O357" s="161"/>
      <c r="R357" s="102" t="str">
        <f>CONST_PrecursorToGoodInput&amp;G336 &amp;"_"&amp;E357</f>
        <v>PrecToGood__</v>
      </c>
      <c r="S357" s="105">
        <f>MAX(S356:S356)+IF(D357=C336,2,1)</f>
        <v>1</v>
      </c>
      <c r="T357" s="127" t="str">
        <f>IF(G336="","",L357)</f>
        <v/>
      </c>
      <c r="V357" s="162" t="str">
        <f>IF(AND(G336&lt;&gt;"",E357&lt;&gt;"",L357&lt;&gt;""),TRUE,IF(AND(G336&lt;&gt;"",E357&lt;&gt;"",L357="",X357=FALSE),CONST_ErrorOrMissing&amp;C336,CONST_NA))</f>
        <v>n.a.</v>
      </c>
      <c r="W357" s="104" t="s">
        <v>1333</v>
      </c>
      <c r="X357" s="102" t="b">
        <f>IF(G336="",FALSE,OR(L354,E357=""))</f>
        <v>0</v>
      </c>
    </row>
    <row r="358" spans="4:24" ht="12.75" customHeight="1" x14ac:dyDescent="0.25">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x14ac:dyDescent="0.25">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x14ac:dyDescent="0.25">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x14ac:dyDescent="0.25">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x14ac:dyDescent="0.25">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x14ac:dyDescent="0.25">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x14ac:dyDescent="0.25">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x14ac:dyDescent="0.25">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x14ac:dyDescent="0.25">
      <c r="D366" s="120" t="s">
        <v>1334</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1333</v>
      </c>
      <c r="X366" s="102" t="b">
        <f>IF(G336="",FALSE,L354)</f>
        <v>0</v>
      </c>
    </row>
    <row r="367" spans="4:24" ht="12.75" customHeight="1" x14ac:dyDescent="0.25">
      <c r="D367" s="120" t="s">
        <v>1335</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x14ac:dyDescent="0.3">
      <c r="T368" s="128"/>
    </row>
    <row r="369" spans="3:24" ht="12.75" customHeight="1" x14ac:dyDescent="0.25">
      <c r="C369" s="188"/>
      <c r="D369" s="189"/>
      <c r="E369" s="190"/>
      <c r="F369" s="191"/>
      <c r="G369" s="191"/>
      <c r="H369" s="191"/>
      <c r="I369" s="191"/>
      <c r="J369" s="191"/>
      <c r="K369" s="191"/>
      <c r="L369" s="191"/>
      <c r="M369" s="191"/>
      <c r="N369" s="192"/>
      <c r="T369" s="128"/>
    </row>
    <row r="370" spans="3:24" ht="15" customHeight="1" x14ac:dyDescent="0.25">
      <c r="C370" s="193"/>
      <c r="D370" s="194" t="str">
        <f>Translations!$B$254</f>
        <v>Calculation of the attributed emissions:</v>
      </c>
      <c r="E370" s="195"/>
      <c r="F370" s="196"/>
      <c r="G370" s="196"/>
      <c r="H370" s="196"/>
      <c r="I370" s="196"/>
      <c r="J370" s="1190" t="str">
        <f>IF(G336="","",G336)</f>
        <v/>
      </c>
      <c r="K370" s="1190"/>
      <c r="L370" s="1190"/>
      <c r="M370" s="1190"/>
      <c r="N370" s="197"/>
      <c r="T370" s="128"/>
    </row>
    <row r="371" spans="3:24" ht="5.0999999999999996" customHeight="1" x14ac:dyDescent="0.25">
      <c r="C371" s="193"/>
      <c r="D371" s="198"/>
      <c r="E371" s="199"/>
      <c r="F371" s="196"/>
      <c r="G371" s="196"/>
      <c r="H371" s="196"/>
      <c r="I371" s="196"/>
      <c r="J371" s="196"/>
      <c r="K371" s="196"/>
      <c r="L371" s="196"/>
      <c r="M371" s="196"/>
      <c r="N371" s="197"/>
      <c r="T371" s="128"/>
    </row>
    <row r="372" spans="3:24" ht="12.75" customHeight="1" x14ac:dyDescent="0.25">
      <c r="C372" s="193"/>
      <c r="D372" s="200"/>
      <c r="E372" s="1172" t="str">
        <f ca="1">HYPERLINK("#"&amp;ADDRESS(MATCH($S372,G_FurtherGuidance!$S:$S,0),3,,,G_FurtherGuidance!$U$2),CONST_LinkToGuidanceSheet)</f>
        <v>Please click on this link for further guidance on how to complete this section.</v>
      </c>
      <c r="F372" s="1172"/>
      <c r="G372" s="1172"/>
      <c r="H372" s="1172"/>
      <c r="I372" s="1172"/>
      <c r="J372" s="1172"/>
      <c r="K372" s="1172"/>
      <c r="L372" s="1172"/>
      <c r="M372" s="1172"/>
      <c r="N372" s="203"/>
      <c r="R372" s="104" t="s">
        <v>1320</v>
      </c>
      <c r="S372" s="105">
        <v>3</v>
      </c>
      <c r="T372" s="128"/>
    </row>
    <row r="373" spans="3:24" ht="5.0999999999999996" customHeight="1" x14ac:dyDescent="0.25">
      <c r="C373" s="193"/>
      <c r="D373" s="198"/>
      <c r="E373" s="199"/>
      <c r="F373" s="196"/>
      <c r="G373" s="196"/>
      <c r="H373" s="196"/>
      <c r="I373" s="196"/>
      <c r="J373" s="199"/>
      <c r="K373" s="196"/>
      <c r="L373" s="196"/>
      <c r="M373" s="196"/>
      <c r="N373" s="197"/>
      <c r="T373" s="128"/>
      <c r="X373" s="104"/>
    </row>
    <row r="374" spans="3:24" ht="24.95" customHeight="1" x14ac:dyDescent="0.2">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x14ac:dyDescent="0.25">
      <c r="C375" s="193"/>
      <c r="D375" s="200" t="s">
        <v>1336</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x14ac:dyDescent="0.25">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x14ac:dyDescent="0.25">
      <c r="C377" s="193"/>
      <c r="D377" s="205"/>
      <c r="E377" s="199"/>
      <c r="F377" s="196"/>
      <c r="G377" s="196"/>
      <c r="H377" s="196"/>
      <c r="I377" s="196"/>
      <c r="J377" s="196"/>
      <c r="K377" s="199"/>
      <c r="L377" s="196"/>
      <c r="M377" s="196"/>
      <c r="N377" s="197"/>
      <c r="T377" s="128"/>
      <c r="X377" s="104"/>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x14ac:dyDescent="0.25">
      <c r="C379" s="193"/>
      <c r="D379" s="200" t="s">
        <v>1337</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x14ac:dyDescent="0.25">
      <c r="C380" s="193"/>
      <c r="D380" s="205"/>
      <c r="E380" s="199"/>
      <c r="F380" s="196"/>
      <c r="G380" s="196"/>
      <c r="H380" s="196"/>
      <c r="I380" s="196"/>
      <c r="J380" s="196"/>
      <c r="K380" s="196"/>
      <c r="L380" s="200"/>
      <c r="M380" s="200"/>
      <c r="N380" s="197"/>
      <c r="T380" s="128"/>
    </row>
    <row r="381" spans="3:24" ht="12.75" customHeight="1" x14ac:dyDescent="0.25">
      <c r="C381" s="193"/>
      <c r="D381" s="200" t="s">
        <v>1338</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1333</v>
      </c>
      <c r="X381" s="102" t="b">
        <f>AND(K375&lt;&gt;"",K375=FALSE)</f>
        <v>0</v>
      </c>
    </row>
    <row r="382" spans="3:24" ht="12.75" customHeight="1" x14ac:dyDescent="0.25">
      <c r="C382" s="193"/>
      <c r="D382" s="198" t="s">
        <v>1238</v>
      </c>
      <c r="E382" s="202" t="str">
        <f>Translations!$B$265</f>
        <v>Amount of net measurable heat</v>
      </c>
      <c r="F382" s="202"/>
      <c r="G382" s="202"/>
      <c r="H382" s="202"/>
      <c r="I382" s="202"/>
      <c r="J382" s="202"/>
      <c r="K382" s="207" t="s">
        <v>444</v>
      </c>
      <c r="L382" s="215"/>
      <c r="M382" s="215"/>
      <c r="N382" s="197"/>
      <c r="O382" s="161"/>
      <c r="T382" s="128"/>
      <c r="V382" s="162" t="str">
        <f>IF(AND(L336&lt;&gt;"",X382=FALSE),IF(COUNTA(L382:M382)=2,TRUE,CONST_ErrorOrMissing&amp;C336),CONST_NA)</f>
        <v>n.a.</v>
      </c>
      <c r="X382" s="102" t="b">
        <f>X381</f>
        <v>0</v>
      </c>
    </row>
    <row r="383" spans="3:24" ht="12.75" customHeight="1" x14ac:dyDescent="0.25">
      <c r="C383" s="193"/>
      <c r="D383" s="198" t="s">
        <v>1239</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x14ac:dyDescent="0.25">
      <c r="C384" s="193"/>
      <c r="D384" s="205"/>
      <c r="E384" s="199"/>
      <c r="F384" s="196"/>
      <c r="G384" s="196"/>
      <c r="H384" s="196"/>
      <c r="I384" s="196"/>
      <c r="J384" s="196"/>
      <c r="K384" s="196"/>
      <c r="L384" s="200"/>
      <c r="M384" s="200"/>
      <c r="N384" s="197"/>
      <c r="T384" s="128"/>
    </row>
    <row r="385" spans="2:24" ht="12.75" customHeight="1" x14ac:dyDescent="0.25">
      <c r="C385" s="193"/>
      <c r="D385" s="200" t="s">
        <v>1339</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1333</v>
      </c>
      <c r="X385" s="102" t="b">
        <f>AND(L375&lt;&gt;"",L375=FALSE)</f>
        <v>0</v>
      </c>
    </row>
    <row r="386" spans="2:24" ht="12.75" customHeight="1" x14ac:dyDescent="0.25">
      <c r="C386" s="193"/>
      <c r="D386" s="198" t="s">
        <v>1238</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x14ac:dyDescent="0.25">
      <c r="C387" s="193"/>
      <c r="D387" s="198" t="s">
        <v>1239</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x14ac:dyDescent="0.25">
      <c r="C388" s="193"/>
      <c r="D388" s="205"/>
      <c r="E388" s="199"/>
      <c r="F388" s="196"/>
      <c r="G388" s="196"/>
      <c r="H388" s="196"/>
      <c r="I388" s="196"/>
      <c r="J388" s="196"/>
      <c r="K388" s="196"/>
      <c r="L388" s="196"/>
      <c r="M388" s="196"/>
      <c r="N388" s="197"/>
      <c r="T388" s="128"/>
    </row>
    <row r="389" spans="2:24" ht="12.75" customHeight="1" x14ac:dyDescent="0.25">
      <c r="C389" s="193"/>
      <c r="D389" s="200" t="s">
        <v>1340</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1333</v>
      </c>
      <c r="X389" s="102" t="b">
        <f>M375=FALSE</f>
        <v>0</v>
      </c>
    </row>
    <row r="390" spans="2:24" ht="12.75" customHeight="1" x14ac:dyDescent="0.25">
      <c r="C390" s="193"/>
      <c r="D390" s="198" t="s">
        <v>1238</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x14ac:dyDescent="0.25">
      <c r="C391" s="193"/>
      <c r="D391" s="198" t="s">
        <v>1239</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x14ac:dyDescent="0.25">
      <c r="C392" s="193"/>
      <c r="D392" s="198" t="s">
        <v>1240</v>
      </c>
      <c r="E392" s="202" t="str">
        <f>Translations!$B$272</f>
        <v>Source of the emission factor</v>
      </c>
      <c r="F392" s="202"/>
      <c r="G392" s="202"/>
      <c r="H392" s="202"/>
      <c r="I392" s="202"/>
      <c r="J392" s="202"/>
      <c r="K392" s="302" t="s">
        <v>1329</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x14ac:dyDescent="0.25">
      <c r="C393" s="193"/>
      <c r="D393" s="205"/>
      <c r="E393" s="199"/>
      <c r="F393" s="196"/>
      <c r="G393" s="196"/>
      <c r="H393" s="196"/>
      <c r="I393" s="196"/>
      <c r="J393" s="196"/>
      <c r="K393" s="196"/>
      <c r="L393" s="196"/>
      <c r="M393" s="196"/>
      <c r="N393" s="197"/>
      <c r="T393" s="128"/>
    </row>
    <row r="394" spans="2:24" ht="12.75" customHeight="1" x14ac:dyDescent="0.25">
      <c r="C394" s="193"/>
      <c r="D394" s="205"/>
      <c r="E394" s="199"/>
      <c r="F394" s="196"/>
      <c r="G394" s="196"/>
      <c r="H394" s="196"/>
      <c r="I394" s="196"/>
      <c r="J394" s="196"/>
      <c r="K394" s="196"/>
      <c r="L394" s="196"/>
      <c r="M394" s="196"/>
      <c r="N394" s="197"/>
      <c r="T394" s="128"/>
    </row>
    <row r="395" spans="2:24" ht="12.75" customHeight="1" x14ac:dyDescent="0.25">
      <c r="C395" s="193"/>
      <c r="D395" s="200" t="s">
        <v>1341</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x14ac:dyDescent="0.25">
      <c r="C396" s="193"/>
      <c r="D396" s="198" t="s">
        <v>1238</v>
      </c>
      <c r="E396" s="202" t="str">
        <f>Translations!$B$274</f>
        <v>Amounts exported</v>
      </c>
      <c r="F396" s="202"/>
      <c r="G396" s="202"/>
      <c r="H396" s="202"/>
      <c r="I396" s="202"/>
      <c r="J396" s="202"/>
      <c r="K396" s="207" t="s">
        <v>1342</v>
      </c>
      <c r="L396" s="215"/>
      <c r="M396" s="196"/>
      <c r="N396" s="197"/>
      <c r="O396" s="161"/>
      <c r="T396" s="128"/>
      <c r="V396" s="162" t="str">
        <f>IF(L336&lt;&gt;"",IF(L396&lt;&gt;"",TRUE,CONST_ErrorOrMissing&amp;C336),CONST_NA)</f>
        <v>n.a.</v>
      </c>
    </row>
    <row r="397" spans="2:24" ht="12.75" customHeight="1" x14ac:dyDescent="0.25">
      <c r="C397" s="193"/>
      <c r="D397" s="198" t="s">
        <v>1239</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x14ac:dyDescent="0.3">
      <c r="C398" s="208"/>
      <c r="D398" s="209"/>
      <c r="E398" s="210"/>
      <c r="F398" s="211"/>
      <c r="G398" s="211"/>
      <c r="H398" s="211"/>
      <c r="I398" s="211"/>
      <c r="J398" s="211"/>
      <c r="K398" s="211"/>
      <c r="L398" s="211"/>
      <c r="M398" s="211"/>
      <c r="N398" s="212"/>
      <c r="T398" s="128"/>
    </row>
    <row r="399" spans="2:24" ht="12.75" customHeight="1" thickBot="1" x14ac:dyDescent="0.3">
      <c r="T399" s="128"/>
    </row>
    <row r="400" spans="2:24" ht="12.75" customHeight="1" thickBot="1" x14ac:dyDescent="0.3">
      <c r="B400" s="150"/>
      <c r="C400" s="150"/>
      <c r="D400" s="150"/>
      <c r="E400" s="150"/>
      <c r="F400" s="150"/>
      <c r="G400" s="150"/>
      <c r="H400" s="150"/>
      <c r="I400" s="150"/>
      <c r="J400" s="150"/>
      <c r="K400" s="150"/>
      <c r="L400" s="150"/>
      <c r="M400" s="150"/>
      <c r="N400" s="150"/>
      <c r="O400" s="150"/>
      <c r="T400" s="128"/>
    </row>
    <row r="401" spans="3:24" ht="18" customHeight="1" thickBot="1" x14ac:dyDescent="0.3">
      <c r="C401" s="152">
        <f>C336+1</f>
        <v>7</v>
      </c>
      <c r="D401" s="153" t="str">
        <f>CONST_ProductionProcess &amp; " " &amp; C401 &amp; ":"</f>
        <v>Production process 7:</v>
      </c>
      <c r="G401" s="1191" t="str">
        <f>IF(INDEX(CNTR_List_ExistProdProcNames,R401)=CONST_NA,"",INDEX(CNTR_List_ExistProdProcNames,R401))</f>
        <v/>
      </c>
      <c r="H401" s="1192"/>
      <c r="I401" s="1192"/>
      <c r="J401" s="1192"/>
      <c r="K401" s="1193"/>
      <c r="L401" s="1194" t="str">
        <f>IF(INDEX(CNTR_List_ExistProdProc,R401)=CONST_NA,"",INDEX(CNTR_List_ExistProdProc,R401))</f>
        <v/>
      </c>
      <c r="M401" s="1195"/>
      <c r="N401" s="1196"/>
      <c r="R401" s="154">
        <f>C401</f>
        <v>7</v>
      </c>
      <c r="T401" s="128"/>
      <c r="W401" s="104" t="s">
        <v>1330</v>
      </c>
      <c r="X401" s="155" t="b">
        <f>AND(CNTR_HasEntriesA,G401="")</f>
        <v>0</v>
      </c>
    </row>
    <row r="402" spans="3:24" ht="5.0999999999999996" customHeight="1" x14ac:dyDescent="0.25">
      <c r="D402" s="103"/>
      <c r="E402" s="98"/>
      <c r="T402" s="128"/>
    </row>
    <row r="403" spans="3:24" ht="12.75" customHeight="1" x14ac:dyDescent="0.25">
      <c r="D403" s="103"/>
      <c r="E403" s="1172" t="str">
        <f ca="1">HYPERLINK("#"&amp;ADDRESS(MATCH($S403,G_FurtherGuidance!$S:$S,0),3,,,G_FurtherGuidance!$U$2),CONST_LinkToGuidanceSheet)</f>
        <v>Please click on this link for further guidance on how to complete this section.</v>
      </c>
      <c r="F403" s="1172"/>
      <c r="G403" s="1172"/>
      <c r="H403" s="1172"/>
      <c r="I403" s="1172"/>
      <c r="J403" s="1172"/>
      <c r="K403" s="1172"/>
      <c r="L403" s="1172"/>
      <c r="M403" s="1172"/>
      <c r="R403" s="104" t="s">
        <v>1320</v>
      </c>
      <c r="S403" s="105">
        <v>3</v>
      </c>
      <c r="T403" s="128"/>
    </row>
    <row r="404" spans="3:24" ht="5.0999999999999996" customHeight="1" x14ac:dyDescent="0.25">
      <c r="D404" s="103"/>
      <c r="E404" s="98"/>
      <c r="T404" s="128"/>
    </row>
    <row r="405" spans="3:24" ht="12.75" customHeight="1" x14ac:dyDescent="0.25">
      <c r="D405" s="120" t="s">
        <v>1331</v>
      </c>
      <c r="E405" s="98" t="str">
        <f>Translations!$B$243</f>
        <v>Total production levels:</v>
      </c>
      <c r="H405" s="156" t="str">
        <f>Translations!$B$244</f>
        <v>Production route</v>
      </c>
      <c r="K405" s="157" t="str">
        <f>Translations!$B$221</f>
        <v>Unit</v>
      </c>
      <c r="L405" s="157" t="str">
        <f>Translations!$B$245</f>
        <v>Amounts</v>
      </c>
      <c r="T405" s="128"/>
    </row>
    <row r="406" spans="3:24" ht="12.75" customHeight="1" x14ac:dyDescent="0.25">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x14ac:dyDescent="0.25">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x14ac:dyDescent="0.25">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x14ac:dyDescent="0.25">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x14ac:dyDescent="0.25">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x14ac:dyDescent="0.25">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x14ac:dyDescent="0.25">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x14ac:dyDescent="0.25">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x14ac:dyDescent="0.25">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x14ac:dyDescent="0.25">
      <c r="D415" s="137"/>
      <c r="E415" s="98"/>
      <c r="T415" s="128"/>
    </row>
    <row r="416" spans="3:24" ht="12.75" customHeight="1" x14ac:dyDescent="0.25">
      <c r="D416" s="120" t="s">
        <v>1253</v>
      </c>
      <c r="E416" s="98" t="str">
        <f>Translations!$B$247</f>
        <v>Production details</v>
      </c>
      <c r="F416" s="98"/>
      <c r="G416" s="98"/>
      <c r="H416" s="120"/>
      <c r="K416" s="120" t="str">
        <f>Translations!$B$221</f>
        <v>Unit</v>
      </c>
      <c r="L416" s="120" t="str">
        <f>Translations!$B$245</f>
        <v>Amounts</v>
      </c>
      <c r="T416" s="128"/>
    </row>
    <row r="417" spans="4:24" ht="12.75" customHeight="1" x14ac:dyDescent="0.25">
      <c r="D417" s="137" t="s">
        <v>1238</v>
      </c>
      <c r="E417" s="143" t="str">
        <f>Translations!$B$248</f>
        <v>Produced for the market</v>
      </c>
      <c r="F417" s="143"/>
      <c r="G417" s="143"/>
      <c r="H417" s="143"/>
      <c r="I417" s="143"/>
      <c r="J417" s="143"/>
      <c r="K417" s="171" t="str">
        <f>K406</f>
        <v/>
      </c>
      <c r="L417" s="213"/>
      <c r="O417" s="161"/>
      <c r="R417" s="102" t="str">
        <f>CONST_GoodToMarket&amp;G401</f>
        <v>ToMarket_</v>
      </c>
      <c r="T417" s="127" t="str">
        <f>IF($G$11="","",L417)</f>
        <v/>
      </c>
      <c r="V417" s="162" t="str">
        <f>IF(AND(G401&lt;&gt;"",L417&lt;&gt;""),TRUE,IF(AND(G401&lt;&gt;"",OR(L417="",L406&lt;&gt;"")),CONST_ErrorOrMissing&amp;C401,CONST_NA))</f>
        <v>n.a.</v>
      </c>
    </row>
    <row r="418" spans="4:24" ht="12.75" customHeight="1" x14ac:dyDescent="0.25">
      <c r="D418" s="137" t="s">
        <v>1239</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x14ac:dyDescent="0.25">
      <c r="D419" s="137" t="s">
        <v>1240</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x14ac:dyDescent="0.25">
      <c r="D420" s="137"/>
      <c r="E420" s="98"/>
      <c r="T420" s="128"/>
    </row>
    <row r="421" spans="4:24" ht="12.75" customHeight="1" x14ac:dyDescent="0.25">
      <c r="D421" s="120" t="s">
        <v>1254</v>
      </c>
      <c r="E421" s="98" t="str">
        <f>Translations!$B$251</f>
        <v>Consumed in other 'production processes' within the installation:</v>
      </c>
      <c r="F421" s="98"/>
      <c r="G421" s="98"/>
      <c r="H421" s="98"/>
      <c r="I421" s="98"/>
      <c r="J421" s="98"/>
      <c r="K421" s="120" t="str">
        <f>Translations!$B$221</f>
        <v>Unit</v>
      </c>
      <c r="L421" s="120" t="str">
        <f>Translations!$B$245</f>
        <v>Amounts</v>
      </c>
      <c r="S421" s="126" t="s">
        <v>1332</v>
      </c>
      <c r="T421" s="128"/>
      <c r="W421" s="104" t="s">
        <v>1333</v>
      </c>
      <c r="X421" s="102" t="b">
        <f>IF(G401="",FALSE,L419)</f>
        <v>0</v>
      </c>
    </row>
    <row r="422" spans="4:24" ht="12.75" customHeight="1" x14ac:dyDescent="0.25">
      <c r="D422" s="174">
        <v>1</v>
      </c>
      <c r="E422" s="175" t="str">
        <f t="shared" ref="E422:E430" si="26">IF(INDEX(CNTR_List_ExistProdProcNames,S422)=CONST_NA,"",INDEX(CNTR_List_ExistProdProcNames,S422))</f>
        <v/>
      </c>
      <c r="F422" s="176"/>
      <c r="G422" s="176"/>
      <c r="H422" s="176"/>
      <c r="I422" s="176"/>
      <c r="J422" s="177"/>
      <c r="K422" s="160" t="str">
        <f>K406</f>
        <v/>
      </c>
      <c r="L422" s="28"/>
      <c r="O422" s="161"/>
      <c r="R422" s="102" t="str">
        <f>CONST_PrecursorToGoodInput&amp;G401 &amp;"_"&amp;E422</f>
        <v>PrecToGood__</v>
      </c>
      <c r="S422" s="105">
        <f>MAX(S421:S421)+IF(D422=C401,2,1)</f>
        <v>1</v>
      </c>
      <c r="T422" s="127" t="str">
        <f>IF(G401="","",L422)</f>
        <v/>
      </c>
      <c r="V422" s="162" t="str">
        <f>IF(AND(G401&lt;&gt;"",E422&lt;&gt;"",L422&lt;&gt;""),TRUE,IF(AND(G401&lt;&gt;"",E422&lt;&gt;"",L422="",X422=FALSE),CONST_ErrorOrMissing&amp;C401,CONST_NA))</f>
        <v>n.a.</v>
      </c>
      <c r="W422" s="104" t="s">
        <v>1333</v>
      </c>
      <c r="X422" s="102" t="b">
        <f>IF(G401="",FALSE,OR(L419,E422=""))</f>
        <v>0</v>
      </c>
    </row>
    <row r="423" spans="4:24" ht="12.75" customHeight="1" x14ac:dyDescent="0.25">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x14ac:dyDescent="0.25">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x14ac:dyDescent="0.25">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x14ac:dyDescent="0.25">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x14ac:dyDescent="0.25">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x14ac:dyDescent="0.25">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x14ac:dyDescent="0.25">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x14ac:dyDescent="0.25">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x14ac:dyDescent="0.25">
      <c r="D431" s="120" t="s">
        <v>1334</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1333</v>
      </c>
      <c r="X431" s="102" t="b">
        <f>IF(G401="",FALSE,L419)</f>
        <v>0</v>
      </c>
    </row>
    <row r="432" spans="4:24" ht="12.75" customHeight="1" x14ac:dyDescent="0.25">
      <c r="D432" s="120" t="s">
        <v>1335</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x14ac:dyDescent="0.3">
      <c r="T433" s="128"/>
    </row>
    <row r="434" spans="3:24" ht="12.75" customHeight="1" x14ac:dyDescent="0.25">
      <c r="C434" s="188"/>
      <c r="D434" s="189"/>
      <c r="E434" s="190"/>
      <c r="F434" s="191"/>
      <c r="G434" s="191"/>
      <c r="H434" s="191"/>
      <c r="I434" s="191"/>
      <c r="J434" s="191"/>
      <c r="K434" s="191"/>
      <c r="L434" s="191"/>
      <c r="M434" s="191"/>
      <c r="N434" s="192"/>
      <c r="T434" s="128"/>
    </row>
    <row r="435" spans="3:24" ht="15" customHeight="1" x14ac:dyDescent="0.25">
      <c r="C435" s="193"/>
      <c r="D435" s="194" t="str">
        <f>Translations!$B$254</f>
        <v>Calculation of the attributed emissions:</v>
      </c>
      <c r="E435" s="195"/>
      <c r="F435" s="196"/>
      <c r="G435" s="196"/>
      <c r="H435" s="196"/>
      <c r="I435" s="196"/>
      <c r="J435" s="1190" t="str">
        <f>IF(G401="","",G401)</f>
        <v/>
      </c>
      <c r="K435" s="1190"/>
      <c r="L435" s="1190"/>
      <c r="M435" s="1190"/>
      <c r="N435" s="197"/>
      <c r="T435" s="128"/>
    </row>
    <row r="436" spans="3:24" ht="5.0999999999999996" customHeight="1" x14ac:dyDescent="0.25">
      <c r="C436" s="193"/>
      <c r="D436" s="198"/>
      <c r="E436" s="199"/>
      <c r="F436" s="196"/>
      <c r="G436" s="196"/>
      <c r="H436" s="196"/>
      <c r="I436" s="196"/>
      <c r="J436" s="196"/>
      <c r="K436" s="196"/>
      <c r="L436" s="196"/>
      <c r="M436" s="196"/>
      <c r="N436" s="197"/>
      <c r="T436" s="128"/>
    </row>
    <row r="437" spans="3:24" ht="12.75" customHeight="1" x14ac:dyDescent="0.25">
      <c r="C437" s="193"/>
      <c r="D437" s="200"/>
      <c r="E437" s="1172" t="str">
        <f ca="1">HYPERLINK("#"&amp;ADDRESS(MATCH($S437,G_FurtherGuidance!$S:$S,0),3,,,G_FurtherGuidance!$U$2),CONST_LinkToGuidanceSheet)</f>
        <v>Please click on this link for further guidance on how to complete this section.</v>
      </c>
      <c r="F437" s="1172"/>
      <c r="G437" s="1172"/>
      <c r="H437" s="1172"/>
      <c r="I437" s="1172"/>
      <c r="J437" s="1172"/>
      <c r="K437" s="1172"/>
      <c r="L437" s="1172"/>
      <c r="M437" s="1172"/>
      <c r="N437" s="203"/>
      <c r="R437" s="104" t="s">
        <v>1320</v>
      </c>
      <c r="S437" s="105">
        <v>3</v>
      </c>
      <c r="T437" s="128"/>
    </row>
    <row r="438" spans="3:24" ht="5.0999999999999996" customHeight="1" x14ac:dyDescent="0.25">
      <c r="C438" s="193"/>
      <c r="D438" s="198"/>
      <c r="E438" s="199"/>
      <c r="F438" s="196"/>
      <c r="G438" s="196"/>
      <c r="H438" s="196"/>
      <c r="I438" s="196"/>
      <c r="J438" s="199"/>
      <c r="K438" s="196"/>
      <c r="L438" s="196"/>
      <c r="M438" s="196"/>
      <c r="N438" s="197"/>
      <c r="T438" s="128"/>
      <c r="X438" s="104"/>
    </row>
    <row r="439" spans="3: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x14ac:dyDescent="0.25">
      <c r="C440" s="193"/>
      <c r="D440" s="200" t="s">
        <v>1336</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x14ac:dyDescent="0.25">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x14ac:dyDescent="0.25">
      <c r="C442" s="193"/>
      <c r="D442" s="205"/>
      <c r="E442" s="199"/>
      <c r="F442" s="196"/>
      <c r="G442" s="196"/>
      <c r="H442" s="196"/>
      <c r="I442" s="196"/>
      <c r="J442" s="196"/>
      <c r="K442" s="199"/>
      <c r="L442" s="196"/>
      <c r="M442" s="196"/>
      <c r="N442" s="197"/>
      <c r="T442" s="128"/>
      <c r="X442" s="104"/>
    </row>
    <row r="443" spans="3:24" ht="12.75" customHeight="1" x14ac:dyDescent="0.25">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x14ac:dyDescent="0.25">
      <c r="C444" s="193"/>
      <c r="D444" s="200" t="s">
        <v>1337</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x14ac:dyDescent="0.25">
      <c r="C445" s="193"/>
      <c r="D445" s="205"/>
      <c r="E445" s="199"/>
      <c r="F445" s="196"/>
      <c r="G445" s="196"/>
      <c r="H445" s="196"/>
      <c r="I445" s="196"/>
      <c r="J445" s="196"/>
      <c r="K445" s="196"/>
      <c r="L445" s="200"/>
      <c r="M445" s="200"/>
      <c r="N445" s="197"/>
      <c r="T445" s="128"/>
    </row>
    <row r="446" spans="3:24" ht="12.75" customHeight="1" x14ac:dyDescent="0.25">
      <c r="C446" s="193"/>
      <c r="D446" s="200" t="s">
        <v>1338</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1333</v>
      </c>
      <c r="X446" s="102" t="b">
        <f>AND(K440&lt;&gt;"",K440=FALSE)</f>
        <v>0</v>
      </c>
    </row>
    <row r="447" spans="3:24" ht="12.75" customHeight="1" x14ac:dyDescent="0.25">
      <c r="C447" s="193"/>
      <c r="D447" s="198" t="s">
        <v>1238</v>
      </c>
      <c r="E447" s="202" t="str">
        <f>Translations!$B$265</f>
        <v>Amount of net measurable heat</v>
      </c>
      <c r="F447" s="202"/>
      <c r="G447" s="202"/>
      <c r="H447" s="202"/>
      <c r="I447" s="202"/>
      <c r="J447" s="202"/>
      <c r="K447" s="207" t="s">
        <v>444</v>
      </c>
      <c r="L447" s="215"/>
      <c r="M447" s="215"/>
      <c r="N447" s="197"/>
      <c r="O447" s="161"/>
      <c r="T447" s="128"/>
      <c r="V447" s="162" t="str">
        <f>IF(AND(L401&lt;&gt;"",X447=FALSE),IF(COUNTA(L447:M447)=2,TRUE,CONST_ErrorOrMissing&amp;C401),CONST_NA)</f>
        <v>n.a.</v>
      </c>
      <c r="X447" s="102" t="b">
        <f>X446</f>
        <v>0</v>
      </c>
    </row>
    <row r="448" spans="3:24" ht="12.75" customHeight="1" x14ac:dyDescent="0.25">
      <c r="C448" s="193"/>
      <c r="D448" s="198" t="s">
        <v>1239</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x14ac:dyDescent="0.25">
      <c r="C449" s="193"/>
      <c r="D449" s="205"/>
      <c r="E449" s="199"/>
      <c r="F449" s="196"/>
      <c r="G449" s="196"/>
      <c r="H449" s="196"/>
      <c r="I449" s="196"/>
      <c r="J449" s="196"/>
      <c r="K449" s="196"/>
      <c r="L449" s="200"/>
      <c r="M449" s="200"/>
      <c r="N449" s="197"/>
      <c r="T449" s="128"/>
    </row>
    <row r="450" spans="3:24" ht="12.75" customHeight="1" x14ac:dyDescent="0.25">
      <c r="C450" s="193"/>
      <c r="D450" s="200" t="s">
        <v>1339</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1333</v>
      </c>
      <c r="X450" s="102" t="b">
        <f>AND(L440&lt;&gt;"",L440=FALSE)</f>
        <v>0</v>
      </c>
    </row>
    <row r="451" spans="3:24" ht="12.75" customHeight="1" x14ac:dyDescent="0.25">
      <c r="C451" s="193"/>
      <c r="D451" s="198" t="s">
        <v>1238</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x14ac:dyDescent="0.25">
      <c r="C452" s="193"/>
      <c r="D452" s="198" t="s">
        <v>1239</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x14ac:dyDescent="0.25">
      <c r="C453" s="193"/>
      <c r="D453" s="205"/>
      <c r="E453" s="199"/>
      <c r="F453" s="196"/>
      <c r="G453" s="196"/>
      <c r="H453" s="196"/>
      <c r="I453" s="196"/>
      <c r="J453" s="196"/>
      <c r="K453" s="196"/>
      <c r="L453" s="196"/>
      <c r="M453" s="196"/>
      <c r="N453" s="197"/>
      <c r="T453" s="128"/>
    </row>
    <row r="454" spans="3:24" ht="12.75" customHeight="1" x14ac:dyDescent="0.25">
      <c r="C454" s="193"/>
      <c r="D454" s="200" t="s">
        <v>1340</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1333</v>
      </c>
      <c r="X454" s="102" t="b">
        <f>M440=FALSE</f>
        <v>0</v>
      </c>
    </row>
    <row r="455" spans="3:24" ht="12.75" customHeight="1" x14ac:dyDescent="0.25">
      <c r="C455" s="193"/>
      <c r="D455" s="198" t="s">
        <v>1238</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x14ac:dyDescent="0.25">
      <c r="C456" s="193"/>
      <c r="D456" s="198" t="s">
        <v>1239</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x14ac:dyDescent="0.25">
      <c r="C457" s="193"/>
      <c r="D457" s="198" t="s">
        <v>1240</v>
      </c>
      <c r="E457" s="202" t="str">
        <f>Translations!$B$272</f>
        <v>Source of the emission factor</v>
      </c>
      <c r="F457" s="202"/>
      <c r="G457" s="202"/>
      <c r="H457" s="202"/>
      <c r="I457" s="202"/>
      <c r="J457" s="202"/>
      <c r="K457" s="302" t="s">
        <v>1329</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x14ac:dyDescent="0.25">
      <c r="C458" s="193"/>
      <c r="D458" s="205"/>
      <c r="E458" s="199"/>
      <c r="F458" s="196"/>
      <c r="G458" s="196"/>
      <c r="H458" s="196"/>
      <c r="I458" s="196"/>
      <c r="J458" s="196"/>
      <c r="K458" s="196"/>
      <c r="L458" s="196"/>
      <c r="M458" s="196"/>
      <c r="N458" s="197"/>
      <c r="T458" s="128"/>
    </row>
    <row r="459" spans="3:24" ht="12.75" customHeight="1" x14ac:dyDescent="0.25">
      <c r="C459" s="193"/>
      <c r="D459" s="205"/>
      <c r="E459" s="199"/>
      <c r="F459" s="196"/>
      <c r="G459" s="196"/>
      <c r="H459" s="196"/>
      <c r="I459" s="196"/>
      <c r="J459" s="196"/>
      <c r="K459" s="196"/>
      <c r="L459" s="196"/>
      <c r="M459" s="196"/>
      <c r="N459" s="197"/>
      <c r="T459" s="128"/>
    </row>
    <row r="460" spans="3:24" ht="12.75" customHeight="1" x14ac:dyDescent="0.25">
      <c r="C460" s="193"/>
      <c r="D460" s="200" t="s">
        <v>1341</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x14ac:dyDescent="0.25">
      <c r="C461" s="193"/>
      <c r="D461" s="198" t="s">
        <v>1238</v>
      </c>
      <c r="E461" s="202" t="str">
        <f>Translations!$B$274</f>
        <v>Amounts exported</v>
      </c>
      <c r="F461" s="202"/>
      <c r="G461" s="202"/>
      <c r="H461" s="202"/>
      <c r="I461" s="202"/>
      <c r="J461" s="202"/>
      <c r="K461" s="207" t="s">
        <v>1342</v>
      </c>
      <c r="L461" s="215"/>
      <c r="M461" s="196"/>
      <c r="N461" s="197"/>
      <c r="O461" s="161"/>
      <c r="T461" s="128"/>
      <c r="V461" s="162" t="str">
        <f>IF(L401&lt;&gt;"",IF(L461&lt;&gt;"",TRUE,CONST_ErrorOrMissing&amp;C401),CONST_NA)</f>
        <v>n.a.</v>
      </c>
    </row>
    <row r="462" spans="3:24" ht="12.75" customHeight="1" x14ac:dyDescent="0.25">
      <c r="C462" s="193"/>
      <c r="D462" s="198" t="s">
        <v>1239</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x14ac:dyDescent="0.3">
      <c r="C463" s="208"/>
      <c r="D463" s="209"/>
      <c r="E463" s="210"/>
      <c r="F463" s="211"/>
      <c r="G463" s="211"/>
      <c r="H463" s="211"/>
      <c r="I463" s="211"/>
      <c r="J463" s="211"/>
      <c r="K463" s="211"/>
      <c r="L463" s="211"/>
      <c r="M463" s="211"/>
      <c r="N463" s="212"/>
      <c r="T463" s="128"/>
    </row>
    <row r="464" spans="3:24" ht="12.75" customHeight="1" thickBot="1" x14ac:dyDescent="0.3">
      <c r="T464" s="128"/>
    </row>
    <row r="465" spans="2:24" ht="12.75" customHeight="1" thickBot="1" x14ac:dyDescent="0.3">
      <c r="B465" s="150"/>
      <c r="C465" s="150"/>
      <c r="D465" s="150"/>
      <c r="E465" s="150"/>
      <c r="F465" s="150"/>
      <c r="G465" s="150"/>
      <c r="H465" s="150"/>
      <c r="I465" s="150"/>
      <c r="J465" s="150"/>
      <c r="K465" s="150"/>
      <c r="L465" s="150"/>
      <c r="M465" s="150"/>
      <c r="N465" s="150"/>
      <c r="O465" s="150"/>
      <c r="T465" s="128"/>
    </row>
    <row r="466" spans="2:24" ht="18" customHeight="1" thickBot="1" x14ac:dyDescent="0.3">
      <c r="C466" s="152">
        <f>C401+1</f>
        <v>8</v>
      </c>
      <c r="D466" s="153" t="str">
        <f>CONST_ProductionProcess &amp; " " &amp; C466 &amp; ":"</f>
        <v>Production process 8:</v>
      </c>
      <c r="G466" s="1191" t="str">
        <f>IF(INDEX(CNTR_List_ExistProdProcNames,R466)=CONST_NA,"",INDEX(CNTR_List_ExistProdProcNames,R466))</f>
        <v/>
      </c>
      <c r="H466" s="1192"/>
      <c r="I466" s="1192"/>
      <c r="J466" s="1192"/>
      <c r="K466" s="1193"/>
      <c r="L466" s="1194" t="str">
        <f>IF(INDEX(CNTR_List_ExistProdProc,R466)=CONST_NA,"",INDEX(CNTR_List_ExistProdProc,R466))</f>
        <v/>
      </c>
      <c r="M466" s="1195"/>
      <c r="N466" s="1196"/>
      <c r="R466" s="154">
        <f>C466</f>
        <v>8</v>
      </c>
      <c r="T466" s="128"/>
      <c r="W466" s="104" t="s">
        <v>1330</v>
      </c>
      <c r="X466" s="155" t="b">
        <f>AND(CNTR_HasEntriesA,G466="")</f>
        <v>0</v>
      </c>
    </row>
    <row r="467" spans="2:24" ht="5.0999999999999996" customHeight="1" x14ac:dyDescent="0.25">
      <c r="D467" s="103"/>
      <c r="E467" s="98"/>
      <c r="T467" s="128"/>
    </row>
    <row r="468" spans="2:24" ht="12.75" customHeight="1" x14ac:dyDescent="0.25">
      <c r="D468" s="103"/>
      <c r="E468" s="1172" t="str">
        <f ca="1">HYPERLINK("#"&amp;ADDRESS(MATCH($S468,G_FurtherGuidance!$S:$S,0),3,,,G_FurtherGuidance!$U$2),CONST_LinkToGuidanceSheet)</f>
        <v>Please click on this link for further guidance on how to complete this section.</v>
      </c>
      <c r="F468" s="1172"/>
      <c r="G468" s="1172"/>
      <c r="H468" s="1172"/>
      <c r="I468" s="1172"/>
      <c r="J468" s="1172"/>
      <c r="K468" s="1172"/>
      <c r="L468" s="1172"/>
      <c r="M468" s="1172"/>
      <c r="R468" s="104" t="s">
        <v>1320</v>
      </c>
      <c r="S468" s="105">
        <v>3</v>
      </c>
      <c r="T468" s="128"/>
    </row>
    <row r="469" spans="2:24" ht="5.0999999999999996" customHeight="1" x14ac:dyDescent="0.25">
      <c r="D469" s="103"/>
      <c r="E469" s="98"/>
      <c r="T469" s="128"/>
    </row>
    <row r="470" spans="2:24" ht="12.75" customHeight="1" x14ac:dyDescent="0.25">
      <c r="D470" s="120" t="s">
        <v>1331</v>
      </c>
      <c r="E470" s="98" t="str">
        <f>Translations!$B$243</f>
        <v>Total production levels:</v>
      </c>
      <c r="H470" s="156" t="str">
        <f>Translations!$B$244</f>
        <v>Production route</v>
      </c>
      <c r="K470" s="157" t="str">
        <f>Translations!$B$221</f>
        <v>Unit</v>
      </c>
      <c r="L470" s="157" t="str">
        <f>Translations!$B$245</f>
        <v>Amounts</v>
      </c>
      <c r="T470" s="128"/>
    </row>
    <row r="471" spans="2:24" ht="12.75" customHeight="1" x14ac:dyDescent="0.25">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x14ac:dyDescent="0.25">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x14ac:dyDescent="0.25">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x14ac:dyDescent="0.25">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x14ac:dyDescent="0.25">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x14ac:dyDescent="0.25">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x14ac:dyDescent="0.25">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x14ac:dyDescent="0.25">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x14ac:dyDescent="0.25">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x14ac:dyDescent="0.25">
      <c r="D480" s="137"/>
      <c r="E480" s="98"/>
      <c r="T480" s="128"/>
    </row>
    <row r="481" spans="4:24" ht="12.75" customHeight="1" x14ac:dyDescent="0.25">
      <c r="D481" s="120" t="s">
        <v>1253</v>
      </c>
      <c r="E481" s="98" t="str">
        <f>Translations!$B$247</f>
        <v>Production details</v>
      </c>
      <c r="F481" s="98"/>
      <c r="G481" s="98"/>
      <c r="H481" s="120"/>
      <c r="K481" s="120" t="str">
        <f>Translations!$B$221</f>
        <v>Unit</v>
      </c>
      <c r="L481" s="120" t="str">
        <f>Translations!$B$245</f>
        <v>Amounts</v>
      </c>
      <c r="T481" s="128"/>
    </row>
    <row r="482" spans="4:24" ht="12.75" customHeight="1" x14ac:dyDescent="0.25">
      <c r="D482" s="137" t="s">
        <v>1238</v>
      </c>
      <c r="E482" s="143" t="str">
        <f>Translations!$B$248</f>
        <v>Produced for the market</v>
      </c>
      <c r="F482" s="143"/>
      <c r="G482" s="143"/>
      <c r="H482" s="143"/>
      <c r="I482" s="143"/>
      <c r="J482" s="143"/>
      <c r="K482" s="171" t="str">
        <f>K471</f>
        <v/>
      </c>
      <c r="L482" s="213"/>
      <c r="O482" s="161"/>
      <c r="R482" s="102" t="str">
        <f>CONST_GoodToMarket&amp;G466</f>
        <v>ToMarket_</v>
      </c>
      <c r="T482" s="127" t="str">
        <f>IF($G$11="","",L482)</f>
        <v/>
      </c>
      <c r="V482" s="162" t="str">
        <f>IF(AND(G466&lt;&gt;"",L482&lt;&gt;""),TRUE,IF(AND(G466&lt;&gt;"",OR(L482="",L471&lt;&gt;"")),CONST_ErrorOrMissing&amp;C466,CONST_NA))</f>
        <v>n.a.</v>
      </c>
    </row>
    <row r="483" spans="4:24" ht="12.75" customHeight="1" x14ac:dyDescent="0.25">
      <c r="D483" s="137" t="s">
        <v>1239</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x14ac:dyDescent="0.25">
      <c r="D484" s="137" t="s">
        <v>1240</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x14ac:dyDescent="0.25">
      <c r="D485" s="137"/>
      <c r="E485" s="98"/>
      <c r="T485" s="128"/>
    </row>
    <row r="486" spans="4:24" ht="12.75" customHeight="1" x14ac:dyDescent="0.25">
      <c r="D486" s="120" t="s">
        <v>1254</v>
      </c>
      <c r="E486" s="98" t="str">
        <f>Translations!$B$251</f>
        <v>Consumed in other 'production processes' within the installation:</v>
      </c>
      <c r="F486" s="98"/>
      <c r="G486" s="98"/>
      <c r="H486" s="98"/>
      <c r="I486" s="98"/>
      <c r="J486" s="98"/>
      <c r="K486" s="120" t="str">
        <f>Translations!$B$221</f>
        <v>Unit</v>
      </c>
      <c r="L486" s="120" t="str">
        <f>Translations!$B$245</f>
        <v>Amounts</v>
      </c>
      <c r="S486" s="126" t="s">
        <v>1332</v>
      </c>
      <c r="T486" s="128"/>
      <c r="W486" s="104" t="s">
        <v>1333</v>
      </c>
      <c r="X486" s="102" t="b">
        <f>IF(G466="",FALSE,L484)</f>
        <v>0</v>
      </c>
    </row>
    <row r="487" spans="4:24" ht="12.75" customHeight="1" x14ac:dyDescent="0.25">
      <c r="D487" s="174">
        <v>1</v>
      </c>
      <c r="E487" s="175" t="str">
        <f t="shared" ref="E487:E495" si="30">IF(INDEX(CNTR_List_ExistProdProcNames,S487)=CONST_NA,"",INDEX(CNTR_List_ExistProdProcNames,S487))</f>
        <v/>
      </c>
      <c r="F487" s="176"/>
      <c r="G487" s="176"/>
      <c r="H487" s="176"/>
      <c r="I487" s="176"/>
      <c r="J487" s="177"/>
      <c r="K487" s="160" t="str">
        <f>K471</f>
        <v/>
      </c>
      <c r="L487" s="28"/>
      <c r="O487" s="161"/>
      <c r="R487" s="102" t="str">
        <f>CONST_PrecursorToGoodInput&amp;G466 &amp;"_"&amp;E487</f>
        <v>PrecToGood__</v>
      </c>
      <c r="S487" s="105">
        <f>MAX(S486:S486)+IF(D487=C466,2,1)</f>
        <v>1</v>
      </c>
      <c r="T487" s="127" t="str">
        <f>IF(G466="","",L487)</f>
        <v/>
      </c>
      <c r="V487" s="162" t="str">
        <f>IF(AND(G466&lt;&gt;"",E487&lt;&gt;"",L487&lt;&gt;""),TRUE,IF(AND(G466&lt;&gt;"",E487&lt;&gt;"",L487="",X487=FALSE),CONST_ErrorOrMissing&amp;C466,CONST_NA))</f>
        <v>n.a.</v>
      </c>
      <c r="W487" s="104" t="s">
        <v>1333</v>
      </c>
      <c r="X487" s="102" t="b">
        <f>IF(G466="",FALSE,OR(L484,E487=""))</f>
        <v>0</v>
      </c>
    </row>
    <row r="488" spans="4:24" ht="12.75" customHeight="1" x14ac:dyDescent="0.25">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x14ac:dyDescent="0.25">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x14ac:dyDescent="0.25">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x14ac:dyDescent="0.25">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x14ac:dyDescent="0.25">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x14ac:dyDescent="0.25">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x14ac:dyDescent="0.25">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x14ac:dyDescent="0.25">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x14ac:dyDescent="0.25">
      <c r="D496" s="120" t="s">
        <v>1334</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1333</v>
      </c>
      <c r="X496" s="102" t="b">
        <f>IF(G466="",FALSE,L484)</f>
        <v>0</v>
      </c>
    </row>
    <row r="497" spans="3:24" ht="12.75" customHeight="1" x14ac:dyDescent="0.25">
      <c r="D497" s="120" t="s">
        <v>1335</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x14ac:dyDescent="0.3">
      <c r="T498" s="128"/>
    </row>
    <row r="499" spans="3:24" ht="12.75" customHeight="1" x14ac:dyDescent="0.25">
      <c r="C499" s="188"/>
      <c r="D499" s="189"/>
      <c r="E499" s="190"/>
      <c r="F499" s="191"/>
      <c r="G499" s="191"/>
      <c r="H499" s="191"/>
      <c r="I499" s="191"/>
      <c r="J499" s="191"/>
      <c r="K499" s="191"/>
      <c r="L499" s="191"/>
      <c r="M499" s="191"/>
      <c r="N499" s="192"/>
      <c r="T499" s="128"/>
    </row>
    <row r="500" spans="3:24" ht="15" customHeight="1" x14ac:dyDescent="0.25">
      <c r="C500" s="193"/>
      <c r="D500" s="194" t="str">
        <f>Translations!$B$254</f>
        <v>Calculation of the attributed emissions:</v>
      </c>
      <c r="E500" s="195"/>
      <c r="F500" s="196"/>
      <c r="G500" s="196"/>
      <c r="H500" s="196"/>
      <c r="I500" s="196"/>
      <c r="J500" s="1190" t="str">
        <f>IF(G466="","",G466)</f>
        <v/>
      </c>
      <c r="K500" s="1190"/>
      <c r="L500" s="1190"/>
      <c r="M500" s="1190"/>
      <c r="N500" s="197"/>
      <c r="T500" s="128"/>
    </row>
    <row r="501" spans="3:24" ht="5.0999999999999996" customHeight="1" x14ac:dyDescent="0.25">
      <c r="C501" s="193"/>
      <c r="D501" s="198"/>
      <c r="E501" s="199"/>
      <c r="F501" s="196"/>
      <c r="G501" s="196"/>
      <c r="H501" s="196"/>
      <c r="I501" s="196"/>
      <c r="J501" s="196"/>
      <c r="K501" s="196"/>
      <c r="L501" s="196"/>
      <c r="M501" s="196"/>
      <c r="N501" s="197"/>
      <c r="T501" s="128"/>
    </row>
    <row r="502" spans="3:24" ht="12.75" customHeight="1" x14ac:dyDescent="0.25">
      <c r="C502" s="193"/>
      <c r="D502" s="200"/>
      <c r="E502" s="1172" t="str">
        <f ca="1">HYPERLINK("#"&amp;ADDRESS(MATCH($S502,G_FurtherGuidance!$S:$S,0),3,,,G_FurtherGuidance!$U$2),CONST_LinkToGuidanceSheet)</f>
        <v>Please click on this link for further guidance on how to complete this section.</v>
      </c>
      <c r="F502" s="1172"/>
      <c r="G502" s="1172"/>
      <c r="H502" s="1172"/>
      <c r="I502" s="1172"/>
      <c r="J502" s="1172"/>
      <c r="K502" s="1172"/>
      <c r="L502" s="1172"/>
      <c r="M502" s="1172"/>
      <c r="N502" s="203"/>
      <c r="R502" s="104" t="s">
        <v>1320</v>
      </c>
      <c r="S502" s="105">
        <v>3</v>
      </c>
      <c r="T502" s="128"/>
    </row>
    <row r="503" spans="3:24" ht="5.0999999999999996" customHeight="1" x14ac:dyDescent="0.25">
      <c r="C503" s="193"/>
      <c r="D503" s="198"/>
      <c r="E503" s="199"/>
      <c r="F503" s="196"/>
      <c r="G503" s="196"/>
      <c r="H503" s="196"/>
      <c r="I503" s="196"/>
      <c r="J503" s="199"/>
      <c r="K503" s="196"/>
      <c r="L503" s="196"/>
      <c r="M503" s="196"/>
      <c r="N503" s="197"/>
      <c r="T503" s="128"/>
      <c r="X503" s="104"/>
    </row>
    <row r="504" spans="3: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x14ac:dyDescent="0.25">
      <c r="C505" s="193"/>
      <c r="D505" s="200" t="s">
        <v>1336</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x14ac:dyDescent="0.25">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x14ac:dyDescent="0.25">
      <c r="C507" s="193"/>
      <c r="D507" s="205"/>
      <c r="E507" s="199"/>
      <c r="F507" s="196"/>
      <c r="G507" s="196"/>
      <c r="H507" s="196"/>
      <c r="I507" s="196"/>
      <c r="J507" s="196"/>
      <c r="K507" s="199"/>
      <c r="L507" s="196"/>
      <c r="M507" s="196"/>
      <c r="N507" s="197"/>
      <c r="T507" s="128"/>
      <c r="X507" s="104"/>
    </row>
    <row r="508" spans="3:24" ht="12.75" customHeight="1" x14ac:dyDescent="0.25">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x14ac:dyDescent="0.25">
      <c r="C509" s="193"/>
      <c r="D509" s="200" t="s">
        <v>1337</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x14ac:dyDescent="0.25">
      <c r="C510" s="193"/>
      <c r="D510" s="205"/>
      <c r="E510" s="199"/>
      <c r="F510" s="196"/>
      <c r="G510" s="196"/>
      <c r="H510" s="196"/>
      <c r="I510" s="196"/>
      <c r="J510" s="196"/>
      <c r="K510" s="196"/>
      <c r="L510" s="200"/>
      <c r="M510" s="200"/>
      <c r="N510" s="197"/>
      <c r="T510" s="128"/>
    </row>
    <row r="511" spans="3:24" ht="12.75" customHeight="1" x14ac:dyDescent="0.25">
      <c r="C511" s="193"/>
      <c r="D511" s="200" t="s">
        <v>1338</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1333</v>
      </c>
      <c r="X511" s="102" t="b">
        <f>AND(K505&lt;&gt;"",K505=FALSE)</f>
        <v>0</v>
      </c>
    </row>
    <row r="512" spans="3:24" ht="12.75" customHeight="1" x14ac:dyDescent="0.25">
      <c r="C512" s="193"/>
      <c r="D512" s="198" t="s">
        <v>1238</v>
      </c>
      <c r="E512" s="202" t="str">
        <f>Translations!$B$265</f>
        <v>Amount of net measurable heat</v>
      </c>
      <c r="F512" s="202"/>
      <c r="G512" s="202"/>
      <c r="H512" s="202"/>
      <c r="I512" s="202"/>
      <c r="J512" s="202"/>
      <c r="K512" s="207" t="s">
        <v>444</v>
      </c>
      <c r="L512" s="215"/>
      <c r="M512" s="215"/>
      <c r="N512" s="197"/>
      <c r="O512" s="161"/>
      <c r="T512" s="128"/>
      <c r="V512" s="162" t="str">
        <f>IF(AND(L466&lt;&gt;"",X512=FALSE),IF(COUNTA(L512:M512)=2,TRUE,CONST_ErrorOrMissing&amp;C466),CONST_NA)</f>
        <v>n.a.</v>
      </c>
      <c r="X512" s="102" t="b">
        <f>X511</f>
        <v>0</v>
      </c>
    </row>
    <row r="513" spans="3:24" ht="12.75" customHeight="1" x14ac:dyDescent="0.25">
      <c r="C513" s="193"/>
      <c r="D513" s="198" t="s">
        <v>1239</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x14ac:dyDescent="0.25">
      <c r="C514" s="193"/>
      <c r="D514" s="205"/>
      <c r="E514" s="199"/>
      <c r="F514" s="196"/>
      <c r="G514" s="196"/>
      <c r="H514" s="196"/>
      <c r="I514" s="196"/>
      <c r="J514" s="196"/>
      <c r="K514" s="196"/>
      <c r="L514" s="200"/>
      <c r="M514" s="200"/>
      <c r="N514" s="197"/>
      <c r="T514" s="128"/>
    </row>
    <row r="515" spans="3:24" ht="12.75" customHeight="1" x14ac:dyDescent="0.25">
      <c r="C515" s="193"/>
      <c r="D515" s="200" t="s">
        <v>1339</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1333</v>
      </c>
      <c r="X515" s="102" t="b">
        <f>AND(L505&lt;&gt;"",L505=FALSE)</f>
        <v>0</v>
      </c>
    </row>
    <row r="516" spans="3:24" ht="12.75" customHeight="1" x14ac:dyDescent="0.25">
      <c r="C516" s="193"/>
      <c r="D516" s="198" t="s">
        <v>1238</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x14ac:dyDescent="0.25">
      <c r="C517" s="193"/>
      <c r="D517" s="198" t="s">
        <v>1239</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x14ac:dyDescent="0.25">
      <c r="C518" s="193"/>
      <c r="D518" s="205"/>
      <c r="E518" s="199"/>
      <c r="F518" s="196"/>
      <c r="G518" s="196"/>
      <c r="H518" s="196"/>
      <c r="I518" s="196"/>
      <c r="J518" s="196"/>
      <c r="K518" s="196"/>
      <c r="L518" s="196"/>
      <c r="M518" s="196"/>
      <c r="N518" s="197"/>
      <c r="T518" s="128"/>
    </row>
    <row r="519" spans="3:24" ht="12.75" customHeight="1" x14ac:dyDescent="0.25">
      <c r="C519" s="193"/>
      <c r="D519" s="200" t="s">
        <v>1340</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1333</v>
      </c>
      <c r="X519" s="102" t="b">
        <f>M505=FALSE</f>
        <v>0</v>
      </c>
    </row>
    <row r="520" spans="3:24" ht="12.75" customHeight="1" x14ac:dyDescent="0.25">
      <c r="C520" s="193"/>
      <c r="D520" s="198" t="s">
        <v>1238</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x14ac:dyDescent="0.25">
      <c r="C521" s="193"/>
      <c r="D521" s="198" t="s">
        <v>1239</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x14ac:dyDescent="0.25">
      <c r="C522" s="193"/>
      <c r="D522" s="198" t="s">
        <v>1240</v>
      </c>
      <c r="E522" s="202" t="str">
        <f>Translations!$B$272</f>
        <v>Source of the emission factor</v>
      </c>
      <c r="F522" s="202"/>
      <c r="G522" s="202"/>
      <c r="H522" s="202"/>
      <c r="I522" s="202"/>
      <c r="J522" s="202"/>
      <c r="K522" s="302" t="s">
        <v>1329</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x14ac:dyDescent="0.25">
      <c r="C523" s="193"/>
      <c r="D523" s="205"/>
      <c r="E523" s="199"/>
      <c r="F523" s="196"/>
      <c r="G523" s="196"/>
      <c r="H523" s="196"/>
      <c r="I523" s="196"/>
      <c r="J523" s="196"/>
      <c r="K523" s="196"/>
      <c r="L523" s="196"/>
      <c r="M523" s="196"/>
      <c r="N523" s="197"/>
      <c r="T523" s="128"/>
    </row>
    <row r="524" spans="3:24" ht="12.75" customHeight="1" x14ac:dyDescent="0.25">
      <c r="C524" s="193"/>
      <c r="D524" s="205"/>
      <c r="E524" s="199"/>
      <c r="F524" s="196"/>
      <c r="G524" s="196"/>
      <c r="H524" s="196"/>
      <c r="I524" s="196"/>
      <c r="J524" s="196"/>
      <c r="K524" s="196"/>
      <c r="L524" s="196"/>
      <c r="M524" s="196"/>
      <c r="N524" s="197"/>
      <c r="T524" s="128"/>
    </row>
    <row r="525" spans="3:24" ht="12.75" customHeight="1" x14ac:dyDescent="0.25">
      <c r="C525" s="193"/>
      <c r="D525" s="200" t="s">
        <v>1341</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x14ac:dyDescent="0.25">
      <c r="C526" s="193"/>
      <c r="D526" s="198" t="s">
        <v>1238</v>
      </c>
      <c r="E526" s="202" t="str">
        <f>Translations!$B$274</f>
        <v>Amounts exported</v>
      </c>
      <c r="F526" s="202"/>
      <c r="G526" s="202"/>
      <c r="H526" s="202"/>
      <c r="I526" s="202"/>
      <c r="J526" s="202"/>
      <c r="K526" s="207" t="s">
        <v>1342</v>
      </c>
      <c r="L526" s="215"/>
      <c r="M526" s="196"/>
      <c r="N526" s="197"/>
      <c r="O526" s="161"/>
      <c r="T526" s="128"/>
      <c r="V526" s="162" t="str">
        <f>IF(L466&lt;&gt;"",IF(L526&lt;&gt;"",TRUE,CONST_ErrorOrMissing&amp;C466),CONST_NA)</f>
        <v>n.a.</v>
      </c>
    </row>
    <row r="527" spans="3:24" ht="12.75" customHeight="1" x14ac:dyDescent="0.25">
      <c r="C527" s="193"/>
      <c r="D527" s="198" t="s">
        <v>1239</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x14ac:dyDescent="0.3">
      <c r="C528" s="208"/>
      <c r="D528" s="209"/>
      <c r="E528" s="210"/>
      <c r="F528" s="211"/>
      <c r="G528" s="211"/>
      <c r="H528" s="211"/>
      <c r="I528" s="211"/>
      <c r="J528" s="211"/>
      <c r="K528" s="211"/>
      <c r="L528" s="211"/>
      <c r="M528" s="211"/>
      <c r="N528" s="212"/>
      <c r="T528" s="128"/>
    </row>
    <row r="529" spans="2:24" ht="12.75" customHeight="1" thickBot="1" x14ac:dyDescent="0.3">
      <c r="T529" s="128"/>
    </row>
    <row r="530" spans="2:24" ht="12.75" customHeight="1" thickBot="1" x14ac:dyDescent="0.3">
      <c r="B530" s="150"/>
      <c r="C530" s="150"/>
      <c r="D530" s="150"/>
      <c r="E530" s="150"/>
      <c r="F530" s="150"/>
      <c r="G530" s="150"/>
      <c r="H530" s="150"/>
      <c r="I530" s="150"/>
      <c r="J530" s="150"/>
      <c r="K530" s="150"/>
      <c r="L530" s="150"/>
      <c r="M530" s="150"/>
      <c r="N530" s="150"/>
      <c r="O530" s="150"/>
      <c r="T530" s="128"/>
    </row>
    <row r="531" spans="2:24" ht="18" customHeight="1" thickBot="1" x14ac:dyDescent="0.3">
      <c r="C531" s="152">
        <f>C466+1</f>
        <v>9</v>
      </c>
      <c r="D531" s="153" t="str">
        <f>CONST_ProductionProcess &amp; " " &amp; C531 &amp; ":"</f>
        <v>Production process 9:</v>
      </c>
      <c r="G531" s="1191" t="str">
        <f>IF(INDEX(CNTR_List_ExistProdProcNames,R531)=CONST_NA,"",INDEX(CNTR_List_ExistProdProcNames,R531))</f>
        <v/>
      </c>
      <c r="H531" s="1192"/>
      <c r="I531" s="1192"/>
      <c r="J531" s="1192"/>
      <c r="K531" s="1193"/>
      <c r="L531" s="1194" t="str">
        <f>IF(INDEX(CNTR_List_ExistProdProc,R531)=CONST_NA,"",INDEX(CNTR_List_ExistProdProc,R531))</f>
        <v/>
      </c>
      <c r="M531" s="1195"/>
      <c r="N531" s="1196"/>
      <c r="R531" s="154">
        <f>C531</f>
        <v>9</v>
      </c>
      <c r="T531" s="128"/>
      <c r="W531" s="104" t="s">
        <v>1330</v>
      </c>
      <c r="X531" s="155" t="b">
        <f>AND(CNTR_HasEntriesA,G531="")</f>
        <v>0</v>
      </c>
    </row>
    <row r="532" spans="2:24" ht="5.0999999999999996" customHeight="1" x14ac:dyDescent="0.25">
      <c r="D532" s="103"/>
      <c r="E532" s="98"/>
      <c r="T532" s="128"/>
    </row>
    <row r="533" spans="2:24" ht="12.75" customHeight="1" x14ac:dyDescent="0.25">
      <c r="D533" s="103"/>
      <c r="E533" s="1172" t="str">
        <f ca="1">HYPERLINK("#"&amp;ADDRESS(MATCH($S533,G_FurtherGuidance!$S:$S,0),3,,,G_FurtherGuidance!$U$2),CONST_LinkToGuidanceSheet)</f>
        <v>Please click on this link for further guidance on how to complete this section.</v>
      </c>
      <c r="F533" s="1172"/>
      <c r="G533" s="1172"/>
      <c r="H533" s="1172"/>
      <c r="I533" s="1172"/>
      <c r="J533" s="1172"/>
      <c r="K533" s="1172"/>
      <c r="L533" s="1172"/>
      <c r="M533" s="1172"/>
      <c r="R533" s="104" t="s">
        <v>1320</v>
      </c>
      <c r="S533" s="105">
        <v>3</v>
      </c>
      <c r="T533" s="128"/>
    </row>
    <row r="534" spans="2:24" ht="5.0999999999999996" customHeight="1" x14ac:dyDescent="0.25">
      <c r="D534" s="103"/>
      <c r="E534" s="98"/>
      <c r="T534" s="128"/>
    </row>
    <row r="535" spans="2:24" ht="12.75" customHeight="1" x14ac:dyDescent="0.25">
      <c r="D535" s="120" t="s">
        <v>1331</v>
      </c>
      <c r="E535" s="98" t="str">
        <f>Translations!$B$243</f>
        <v>Total production levels:</v>
      </c>
      <c r="H535" s="156" t="str">
        <f>Translations!$B$244</f>
        <v>Production route</v>
      </c>
      <c r="K535" s="157" t="str">
        <f>Translations!$B$221</f>
        <v>Unit</v>
      </c>
      <c r="L535" s="157" t="str">
        <f>Translations!$B$245</f>
        <v>Amounts</v>
      </c>
      <c r="T535" s="128"/>
    </row>
    <row r="536" spans="2:24" ht="12.75" customHeight="1" x14ac:dyDescent="0.25">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x14ac:dyDescent="0.25">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x14ac:dyDescent="0.25">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x14ac:dyDescent="0.25">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x14ac:dyDescent="0.25">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x14ac:dyDescent="0.25">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x14ac:dyDescent="0.25">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x14ac:dyDescent="0.25">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x14ac:dyDescent="0.25">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x14ac:dyDescent="0.25">
      <c r="D545" s="137"/>
      <c r="E545" s="98"/>
      <c r="T545" s="128"/>
    </row>
    <row r="546" spans="4:24" ht="12.75" customHeight="1" x14ac:dyDescent="0.25">
      <c r="D546" s="120" t="s">
        <v>1253</v>
      </c>
      <c r="E546" s="98" t="str">
        <f>Translations!$B$247</f>
        <v>Production details</v>
      </c>
      <c r="F546" s="98"/>
      <c r="G546" s="98"/>
      <c r="H546" s="120"/>
      <c r="K546" s="120" t="str">
        <f>Translations!$B$221</f>
        <v>Unit</v>
      </c>
      <c r="L546" s="120" t="str">
        <f>Translations!$B$245</f>
        <v>Amounts</v>
      </c>
      <c r="T546" s="128"/>
    </row>
    <row r="547" spans="4:24" ht="12.75" customHeight="1" x14ac:dyDescent="0.25">
      <c r="D547" s="137" t="s">
        <v>1238</v>
      </c>
      <c r="E547" s="143" t="str">
        <f>Translations!$B$248</f>
        <v>Produced for the market</v>
      </c>
      <c r="F547" s="143"/>
      <c r="G547" s="143"/>
      <c r="H547" s="143"/>
      <c r="I547" s="143"/>
      <c r="J547" s="143"/>
      <c r="K547" s="171" t="str">
        <f>K536</f>
        <v/>
      </c>
      <c r="L547" s="213"/>
      <c r="O547" s="161"/>
      <c r="R547" s="102" t="str">
        <f>CONST_GoodToMarket&amp;G531</f>
        <v>ToMarket_</v>
      </c>
      <c r="T547" s="127" t="str">
        <f>IF($G$11="","",L547)</f>
        <v/>
      </c>
      <c r="V547" s="162" t="str">
        <f>IF(AND(G531&lt;&gt;"",L547&lt;&gt;""),TRUE,IF(AND(G531&lt;&gt;"",OR(L547="",L536&lt;&gt;"")),CONST_ErrorOrMissing&amp;C531,CONST_NA))</f>
        <v>n.a.</v>
      </c>
    </row>
    <row r="548" spans="4:24" ht="12.75" customHeight="1" x14ac:dyDescent="0.25">
      <c r="D548" s="137" t="s">
        <v>1239</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x14ac:dyDescent="0.25">
      <c r="D549" s="137" t="s">
        <v>1240</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x14ac:dyDescent="0.25">
      <c r="D550" s="137"/>
      <c r="E550" s="98"/>
      <c r="T550" s="128"/>
    </row>
    <row r="551" spans="4:24" ht="12.75" customHeight="1" x14ac:dyDescent="0.25">
      <c r="D551" s="120" t="s">
        <v>1254</v>
      </c>
      <c r="E551" s="98" t="str">
        <f>Translations!$B$251</f>
        <v>Consumed in other 'production processes' within the installation:</v>
      </c>
      <c r="F551" s="98"/>
      <c r="G551" s="98"/>
      <c r="H551" s="98"/>
      <c r="I551" s="98"/>
      <c r="J551" s="98"/>
      <c r="K551" s="120" t="str">
        <f>Translations!$B$221</f>
        <v>Unit</v>
      </c>
      <c r="L551" s="120" t="str">
        <f>Translations!$B$245</f>
        <v>Amounts</v>
      </c>
      <c r="S551" s="126" t="s">
        <v>1332</v>
      </c>
      <c r="T551" s="128"/>
      <c r="W551" s="104" t="s">
        <v>1333</v>
      </c>
      <c r="X551" s="102" t="b">
        <f>IF(G531="",FALSE,L549)</f>
        <v>0</v>
      </c>
    </row>
    <row r="552" spans="4:24" ht="12.75" customHeight="1" x14ac:dyDescent="0.25">
      <c r="D552" s="174">
        <v>1</v>
      </c>
      <c r="E552" s="175" t="str">
        <f t="shared" ref="E552:E560" si="34">IF(INDEX(CNTR_List_ExistProdProcNames,S552)=CONST_NA,"",INDEX(CNTR_List_ExistProdProcNames,S552))</f>
        <v/>
      </c>
      <c r="F552" s="176"/>
      <c r="G552" s="176"/>
      <c r="H552" s="176"/>
      <c r="I552" s="176"/>
      <c r="J552" s="177"/>
      <c r="K552" s="160" t="str">
        <f>K536</f>
        <v/>
      </c>
      <c r="L552" s="28"/>
      <c r="O552" s="161"/>
      <c r="R552" s="102" t="str">
        <f>CONST_PrecursorToGoodInput&amp;G531 &amp;"_"&amp;E552</f>
        <v>PrecToGood__</v>
      </c>
      <c r="S552" s="105">
        <f>MAX(S551:S551)+IF(D552=C531,2,1)</f>
        <v>1</v>
      </c>
      <c r="T552" s="127" t="str">
        <f>IF(G531="","",L552)</f>
        <v/>
      </c>
      <c r="V552" s="162" t="str">
        <f>IF(AND(G531&lt;&gt;"",E552&lt;&gt;"",L552&lt;&gt;""),TRUE,IF(AND(G531&lt;&gt;"",E552&lt;&gt;"",L552="",X552=FALSE),CONST_ErrorOrMissing&amp;C531,CONST_NA))</f>
        <v>n.a.</v>
      </c>
      <c r="W552" s="104" t="s">
        <v>1333</v>
      </c>
      <c r="X552" s="102" t="b">
        <f>IF(G531="",FALSE,OR(L549,E552=""))</f>
        <v>0</v>
      </c>
    </row>
    <row r="553" spans="4:24" ht="12.75" customHeight="1" x14ac:dyDescent="0.25">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x14ac:dyDescent="0.25">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x14ac:dyDescent="0.25">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x14ac:dyDescent="0.25">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x14ac:dyDescent="0.25">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x14ac:dyDescent="0.25">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x14ac:dyDescent="0.25">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x14ac:dyDescent="0.25">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x14ac:dyDescent="0.25">
      <c r="D561" s="120" t="s">
        <v>1334</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1333</v>
      </c>
      <c r="X561" s="102" t="b">
        <f>IF(G531="",FALSE,L549)</f>
        <v>0</v>
      </c>
    </row>
    <row r="562" spans="3:24" ht="12.75" customHeight="1" x14ac:dyDescent="0.25">
      <c r="D562" s="120" t="s">
        <v>1335</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x14ac:dyDescent="0.3">
      <c r="T563" s="128"/>
    </row>
    <row r="564" spans="3:24" ht="12.75" customHeight="1" x14ac:dyDescent="0.25">
      <c r="C564" s="188"/>
      <c r="D564" s="189"/>
      <c r="E564" s="190"/>
      <c r="F564" s="191"/>
      <c r="G564" s="191"/>
      <c r="H564" s="191"/>
      <c r="I564" s="191"/>
      <c r="J564" s="191"/>
      <c r="K564" s="191"/>
      <c r="L564" s="191"/>
      <c r="M564" s="191"/>
      <c r="N564" s="192"/>
      <c r="T564" s="128"/>
    </row>
    <row r="565" spans="3:24" ht="15" customHeight="1" x14ac:dyDescent="0.25">
      <c r="C565" s="193"/>
      <c r="D565" s="194" t="str">
        <f>Translations!$B$254</f>
        <v>Calculation of the attributed emissions:</v>
      </c>
      <c r="E565" s="195"/>
      <c r="F565" s="196"/>
      <c r="G565" s="196"/>
      <c r="H565" s="196"/>
      <c r="I565" s="196"/>
      <c r="J565" s="1190" t="str">
        <f>IF(G531="","",G531)</f>
        <v/>
      </c>
      <c r="K565" s="1190"/>
      <c r="L565" s="1190"/>
      <c r="M565" s="1190"/>
      <c r="N565" s="197"/>
      <c r="T565" s="128"/>
    </row>
    <row r="566" spans="3:24" ht="5.0999999999999996" customHeight="1" x14ac:dyDescent="0.25">
      <c r="C566" s="193"/>
      <c r="D566" s="198"/>
      <c r="E566" s="199"/>
      <c r="F566" s="196"/>
      <c r="G566" s="196"/>
      <c r="H566" s="196"/>
      <c r="I566" s="196"/>
      <c r="J566" s="196"/>
      <c r="K566" s="196"/>
      <c r="L566" s="196"/>
      <c r="M566" s="196"/>
      <c r="N566" s="197"/>
      <c r="T566" s="128"/>
    </row>
    <row r="567" spans="3:24" ht="12.75" customHeight="1" x14ac:dyDescent="0.25">
      <c r="C567" s="193"/>
      <c r="D567" s="200"/>
      <c r="E567" s="1172" t="str">
        <f ca="1">HYPERLINK("#"&amp;ADDRESS(MATCH($S567,G_FurtherGuidance!$S:$S,0),3,,,G_FurtherGuidance!$U$2),CONST_LinkToGuidanceSheet)</f>
        <v>Please click on this link for further guidance on how to complete this section.</v>
      </c>
      <c r="F567" s="1172"/>
      <c r="G567" s="1172"/>
      <c r="H567" s="1172"/>
      <c r="I567" s="1172"/>
      <c r="J567" s="1172"/>
      <c r="K567" s="1172"/>
      <c r="L567" s="1172"/>
      <c r="M567" s="1172"/>
      <c r="N567" s="203"/>
      <c r="R567" s="104" t="s">
        <v>1320</v>
      </c>
      <c r="S567" s="105">
        <v>3</v>
      </c>
      <c r="T567" s="128"/>
    </row>
    <row r="568" spans="3:24" ht="5.0999999999999996" customHeight="1" x14ac:dyDescent="0.25">
      <c r="C568" s="193"/>
      <c r="D568" s="198"/>
      <c r="E568" s="199"/>
      <c r="F568" s="196"/>
      <c r="G568" s="196"/>
      <c r="H568" s="196"/>
      <c r="I568" s="196"/>
      <c r="J568" s="199"/>
      <c r="K568" s="196"/>
      <c r="L568" s="196"/>
      <c r="M568" s="196"/>
      <c r="N568" s="197"/>
      <c r="T568" s="128"/>
      <c r="X568" s="104"/>
    </row>
    <row r="569" spans="3: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x14ac:dyDescent="0.25">
      <c r="C570" s="193"/>
      <c r="D570" s="200" t="s">
        <v>1336</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x14ac:dyDescent="0.25">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x14ac:dyDescent="0.25">
      <c r="C572" s="193"/>
      <c r="D572" s="205"/>
      <c r="E572" s="199"/>
      <c r="F572" s="196"/>
      <c r="G572" s="196"/>
      <c r="H572" s="196"/>
      <c r="I572" s="196"/>
      <c r="J572" s="196"/>
      <c r="K572" s="199"/>
      <c r="L572" s="196"/>
      <c r="M572" s="196"/>
      <c r="N572" s="197"/>
      <c r="T572" s="128"/>
      <c r="X572" s="104"/>
    </row>
    <row r="573" spans="3:24" ht="12.75" customHeight="1" x14ac:dyDescent="0.25">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x14ac:dyDescent="0.25">
      <c r="C574" s="193"/>
      <c r="D574" s="200" t="s">
        <v>1337</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x14ac:dyDescent="0.25">
      <c r="C575" s="193"/>
      <c r="D575" s="205"/>
      <c r="E575" s="199"/>
      <c r="F575" s="196"/>
      <c r="G575" s="196"/>
      <c r="H575" s="196"/>
      <c r="I575" s="196"/>
      <c r="J575" s="196"/>
      <c r="K575" s="196"/>
      <c r="L575" s="200"/>
      <c r="M575" s="200"/>
      <c r="N575" s="197"/>
      <c r="T575" s="128"/>
    </row>
    <row r="576" spans="3:24" ht="12.75" customHeight="1" x14ac:dyDescent="0.25">
      <c r="C576" s="193"/>
      <c r="D576" s="200" t="s">
        <v>1338</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1333</v>
      </c>
      <c r="X576" s="102" t="b">
        <f>AND(K570&lt;&gt;"",K570=FALSE)</f>
        <v>0</v>
      </c>
    </row>
    <row r="577" spans="3:24" ht="12.75" customHeight="1" x14ac:dyDescent="0.25">
      <c r="C577" s="193"/>
      <c r="D577" s="198" t="s">
        <v>1238</v>
      </c>
      <c r="E577" s="202" t="str">
        <f>Translations!$B$265</f>
        <v>Amount of net measurable heat</v>
      </c>
      <c r="F577" s="202"/>
      <c r="G577" s="202"/>
      <c r="H577" s="202"/>
      <c r="I577" s="202"/>
      <c r="J577" s="202"/>
      <c r="K577" s="207" t="s">
        <v>444</v>
      </c>
      <c r="L577" s="215"/>
      <c r="M577" s="215"/>
      <c r="N577" s="197"/>
      <c r="O577" s="161"/>
      <c r="T577" s="128"/>
      <c r="V577" s="162" t="str">
        <f>IF(AND(L531&lt;&gt;"",X577=FALSE),IF(COUNTA(L577:M577)=2,TRUE,CONST_ErrorOrMissing&amp;C531),CONST_NA)</f>
        <v>n.a.</v>
      </c>
      <c r="X577" s="102" t="b">
        <f>X576</f>
        <v>0</v>
      </c>
    </row>
    <row r="578" spans="3:24" ht="12.75" customHeight="1" x14ac:dyDescent="0.25">
      <c r="C578" s="193"/>
      <c r="D578" s="198" t="s">
        <v>1239</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x14ac:dyDescent="0.25">
      <c r="C579" s="193"/>
      <c r="D579" s="205"/>
      <c r="E579" s="199"/>
      <c r="F579" s="196"/>
      <c r="G579" s="196"/>
      <c r="H579" s="196"/>
      <c r="I579" s="196"/>
      <c r="J579" s="196"/>
      <c r="K579" s="196"/>
      <c r="L579" s="200"/>
      <c r="M579" s="200"/>
      <c r="N579" s="197"/>
      <c r="T579" s="128"/>
    </row>
    <row r="580" spans="3:24" ht="12.75" customHeight="1" x14ac:dyDescent="0.25">
      <c r="C580" s="193"/>
      <c r="D580" s="200" t="s">
        <v>1339</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1333</v>
      </c>
      <c r="X580" s="102" t="b">
        <f>AND(L570&lt;&gt;"",L570=FALSE)</f>
        <v>0</v>
      </c>
    </row>
    <row r="581" spans="3:24" ht="12.75" customHeight="1" x14ac:dyDescent="0.25">
      <c r="C581" s="193"/>
      <c r="D581" s="198" t="s">
        <v>1238</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x14ac:dyDescent="0.25">
      <c r="C582" s="193"/>
      <c r="D582" s="198" t="s">
        <v>1239</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x14ac:dyDescent="0.25">
      <c r="C583" s="193"/>
      <c r="D583" s="205"/>
      <c r="E583" s="199"/>
      <c r="F583" s="196"/>
      <c r="G583" s="196"/>
      <c r="H583" s="196"/>
      <c r="I583" s="196"/>
      <c r="J583" s="196"/>
      <c r="K583" s="196"/>
      <c r="L583" s="196"/>
      <c r="M583" s="196"/>
      <c r="N583" s="197"/>
      <c r="T583" s="128"/>
    </row>
    <row r="584" spans="3:24" ht="12.75" customHeight="1" x14ac:dyDescent="0.25">
      <c r="C584" s="193"/>
      <c r="D584" s="200" t="s">
        <v>1340</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1333</v>
      </c>
      <c r="X584" s="102" t="b">
        <f>M570=FALSE</f>
        <v>0</v>
      </c>
    </row>
    <row r="585" spans="3:24" ht="12.75" customHeight="1" x14ac:dyDescent="0.25">
      <c r="C585" s="193"/>
      <c r="D585" s="198" t="s">
        <v>1238</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x14ac:dyDescent="0.25">
      <c r="C586" s="193"/>
      <c r="D586" s="198" t="s">
        <v>1239</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x14ac:dyDescent="0.25">
      <c r="C587" s="193"/>
      <c r="D587" s="198" t="s">
        <v>1240</v>
      </c>
      <c r="E587" s="202" t="str">
        <f>Translations!$B$272</f>
        <v>Source of the emission factor</v>
      </c>
      <c r="F587" s="202"/>
      <c r="G587" s="202"/>
      <c r="H587" s="202"/>
      <c r="I587" s="202"/>
      <c r="J587" s="202"/>
      <c r="K587" s="302" t="s">
        <v>1329</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x14ac:dyDescent="0.25">
      <c r="C588" s="193"/>
      <c r="D588" s="205"/>
      <c r="E588" s="199"/>
      <c r="F588" s="196"/>
      <c r="G588" s="196"/>
      <c r="H588" s="196"/>
      <c r="I588" s="196"/>
      <c r="J588" s="196"/>
      <c r="K588" s="196"/>
      <c r="L588" s="196"/>
      <c r="M588" s="196"/>
      <c r="N588" s="197"/>
      <c r="T588" s="128"/>
    </row>
    <row r="589" spans="3:24" ht="12.75" customHeight="1" x14ac:dyDescent="0.25">
      <c r="C589" s="193"/>
      <c r="D589" s="205"/>
      <c r="E589" s="199"/>
      <c r="F589" s="196"/>
      <c r="G589" s="196"/>
      <c r="H589" s="196"/>
      <c r="I589" s="196"/>
      <c r="J589" s="196"/>
      <c r="K589" s="196"/>
      <c r="L589" s="196"/>
      <c r="M589" s="196"/>
      <c r="N589" s="197"/>
      <c r="T589" s="128"/>
    </row>
    <row r="590" spans="3:24" ht="12.75" customHeight="1" x14ac:dyDescent="0.25">
      <c r="C590" s="193"/>
      <c r="D590" s="200" t="s">
        <v>1341</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x14ac:dyDescent="0.25">
      <c r="C591" s="193"/>
      <c r="D591" s="198" t="s">
        <v>1238</v>
      </c>
      <c r="E591" s="202" t="str">
        <f>Translations!$B$274</f>
        <v>Amounts exported</v>
      </c>
      <c r="F591" s="202"/>
      <c r="G591" s="202"/>
      <c r="H591" s="202"/>
      <c r="I591" s="202"/>
      <c r="J591" s="202"/>
      <c r="K591" s="207" t="s">
        <v>1342</v>
      </c>
      <c r="L591" s="215"/>
      <c r="M591" s="196"/>
      <c r="N591" s="197"/>
      <c r="O591" s="161"/>
      <c r="T591" s="128"/>
      <c r="V591" s="162" t="str">
        <f>IF(L531&lt;&gt;"",IF(L591&lt;&gt;"",TRUE,CONST_ErrorOrMissing&amp;C531),CONST_NA)</f>
        <v>n.a.</v>
      </c>
    </row>
    <row r="592" spans="3:24" ht="12.75" customHeight="1" x14ac:dyDescent="0.25">
      <c r="C592" s="193"/>
      <c r="D592" s="198" t="s">
        <v>1239</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x14ac:dyDescent="0.3">
      <c r="C593" s="208"/>
      <c r="D593" s="209"/>
      <c r="E593" s="210"/>
      <c r="F593" s="211"/>
      <c r="G593" s="211"/>
      <c r="H593" s="211"/>
      <c r="I593" s="211"/>
      <c r="J593" s="211"/>
      <c r="K593" s="211"/>
      <c r="L593" s="211"/>
      <c r="M593" s="211"/>
      <c r="N593" s="212"/>
      <c r="T593" s="128"/>
    </row>
    <row r="594" spans="2:24" ht="12.75" customHeight="1" thickBot="1" x14ac:dyDescent="0.3">
      <c r="T594" s="128"/>
    </row>
    <row r="595" spans="2:24" ht="12.75" customHeight="1" thickBot="1" x14ac:dyDescent="0.3">
      <c r="B595" s="150"/>
      <c r="C595" s="150"/>
      <c r="D595" s="150"/>
      <c r="E595" s="150"/>
      <c r="F595" s="150"/>
      <c r="G595" s="150"/>
      <c r="H595" s="150"/>
      <c r="I595" s="150"/>
      <c r="J595" s="150"/>
      <c r="K595" s="150"/>
      <c r="L595" s="150"/>
      <c r="M595" s="150"/>
      <c r="N595" s="150"/>
      <c r="O595" s="150"/>
      <c r="T595" s="128"/>
    </row>
    <row r="596" spans="2:24" ht="18" customHeight="1" thickBot="1" x14ac:dyDescent="0.3">
      <c r="C596" s="152">
        <f>C531+1</f>
        <v>10</v>
      </c>
      <c r="D596" s="153" t="str">
        <f>CONST_ProductionProcess &amp; " " &amp; C596 &amp; ":"</f>
        <v>Production process 10:</v>
      </c>
      <c r="G596" s="1191" t="str">
        <f>IF(INDEX(CNTR_List_ExistProdProcNames,R596)=CONST_NA,"",INDEX(CNTR_List_ExistProdProcNames,R596))</f>
        <v/>
      </c>
      <c r="H596" s="1192"/>
      <c r="I596" s="1192"/>
      <c r="J596" s="1192"/>
      <c r="K596" s="1193"/>
      <c r="L596" s="1194" t="str">
        <f>IF(INDEX(CNTR_List_ExistProdProc,R596)=CONST_NA,"",INDEX(CNTR_List_ExistProdProc,R596))</f>
        <v/>
      </c>
      <c r="M596" s="1195"/>
      <c r="N596" s="1196"/>
      <c r="R596" s="154">
        <f>C596</f>
        <v>10</v>
      </c>
      <c r="T596" s="128"/>
      <c r="W596" s="104" t="s">
        <v>1330</v>
      </c>
      <c r="X596" s="155" t="b">
        <f>AND(CNTR_HasEntriesA,G596="")</f>
        <v>0</v>
      </c>
    </row>
    <row r="597" spans="2:24" ht="5.0999999999999996" customHeight="1" x14ac:dyDescent="0.25">
      <c r="D597" s="103"/>
      <c r="E597" s="98"/>
      <c r="T597" s="128"/>
    </row>
    <row r="598" spans="2:24" ht="12.75" customHeight="1" x14ac:dyDescent="0.25">
      <c r="D598" s="103"/>
      <c r="E598" s="1172" t="str">
        <f ca="1">HYPERLINK("#"&amp;ADDRESS(MATCH($S598,G_FurtherGuidance!$S:$S,0),3,,,G_FurtherGuidance!$U$2),CONST_LinkToGuidanceSheet)</f>
        <v>Please click on this link for further guidance on how to complete this section.</v>
      </c>
      <c r="F598" s="1172"/>
      <c r="G598" s="1172"/>
      <c r="H598" s="1172"/>
      <c r="I598" s="1172"/>
      <c r="J598" s="1172"/>
      <c r="K598" s="1172"/>
      <c r="L598" s="1172"/>
      <c r="M598" s="1172"/>
      <c r="R598" s="104" t="s">
        <v>1320</v>
      </c>
      <c r="S598" s="105">
        <v>3</v>
      </c>
      <c r="T598" s="128"/>
    </row>
    <row r="599" spans="2:24" ht="5.0999999999999996" customHeight="1" x14ac:dyDescent="0.25">
      <c r="D599" s="103"/>
      <c r="E599" s="98"/>
      <c r="T599" s="128"/>
    </row>
    <row r="600" spans="2:24" ht="12.75" customHeight="1" x14ac:dyDescent="0.25">
      <c r="D600" s="120" t="s">
        <v>1331</v>
      </c>
      <c r="E600" s="98" t="str">
        <f>Translations!$B$243</f>
        <v>Total production levels:</v>
      </c>
      <c r="H600" s="156" t="str">
        <f>Translations!$B$244</f>
        <v>Production route</v>
      </c>
      <c r="K600" s="157" t="str">
        <f>Translations!$B$221</f>
        <v>Unit</v>
      </c>
      <c r="L600" s="157" t="str">
        <f>Translations!$B$245</f>
        <v>Amounts</v>
      </c>
      <c r="T600" s="128"/>
    </row>
    <row r="601" spans="2:24" ht="12.75" customHeight="1" x14ac:dyDescent="0.25">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x14ac:dyDescent="0.25">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x14ac:dyDescent="0.25">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x14ac:dyDescent="0.25">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x14ac:dyDescent="0.25">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x14ac:dyDescent="0.25">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x14ac:dyDescent="0.25">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x14ac:dyDescent="0.25">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x14ac:dyDescent="0.25">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x14ac:dyDescent="0.25">
      <c r="D610" s="137"/>
      <c r="E610" s="98"/>
      <c r="T610" s="128"/>
    </row>
    <row r="611" spans="4:24" ht="12.75" customHeight="1" x14ac:dyDescent="0.25">
      <c r="D611" s="120" t="s">
        <v>1253</v>
      </c>
      <c r="E611" s="98" t="str">
        <f>Translations!$B$247</f>
        <v>Production details</v>
      </c>
      <c r="F611" s="98"/>
      <c r="G611" s="98"/>
      <c r="H611" s="120"/>
      <c r="K611" s="120" t="str">
        <f>Translations!$B$221</f>
        <v>Unit</v>
      </c>
      <c r="L611" s="120" t="str">
        <f>Translations!$B$245</f>
        <v>Amounts</v>
      </c>
      <c r="T611" s="128"/>
    </row>
    <row r="612" spans="4:24" ht="12.75" customHeight="1" x14ac:dyDescent="0.25">
      <c r="D612" s="137" t="s">
        <v>1238</v>
      </c>
      <c r="E612" s="143" t="str">
        <f>Translations!$B$248</f>
        <v>Produced for the market</v>
      </c>
      <c r="F612" s="143"/>
      <c r="G612" s="143"/>
      <c r="H612" s="143"/>
      <c r="I612" s="143"/>
      <c r="J612" s="143"/>
      <c r="K612" s="171" t="str">
        <f>K601</f>
        <v/>
      </c>
      <c r="L612" s="213"/>
      <c r="O612" s="161"/>
      <c r="R612" s="102" t="str">
        <f>CONST_GoodToMarket&amp;G596</f>
        <v>ToMarket_</v>
      </c>
      <c r="T612" s="127" t="str">
        <f>IF($G$11="","",L612)</f>
        <v/>
      </c>
      <c r="V612" s="162" t="str">
        <f>IF(AND(G596&lt;&gt;"",L612&lt;&gt;""),TRUE,IF(AND(G596&lt;&gt;"",OR(L612="",L601&lt;&gt;"")),CONST_ErrorOrMissing&amp;C596,CONST_NA))</f>
        <v>n.a.</v>
      </c>
    </row>
    <row r="613" spans="4:24" ht="12.75" customHeight="1" x14ac:dyDescent="0.25">
      <c r="D613" s="137" t="s">
        <v>1239</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x14ac:dyDescent="0.25">
      <c r="D614" s="137" t="s">
        <v>1240</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x14ac:dyDescent="0.25">
      <c r="D615" s="137"/>
      <c r="E615" s="98"/>
      <c r="T615" s="128"/>
    </row>
    <row r="616" spans="4:24" ht="12.75" customHeight="1" x14ac:dyDescent="0.25">
      <c r="D616" s="120" t="s">
        <v>1254</v>
      </c>
      <c r="E616" s="98" t="str">
        <f>Translations!$B$251</f>
        <v>Consumed in other 'production processes' within the installation:</v>
      </c>
      <c r="F616" s="98"/>
      <c r="G616" s="98"/>
      <c r="H616" s="98"/>
      <c r="I616" s="98"/>
      <c r="J616" s="98"/>
      <c r="K616" s="120" t="str">
        <f>Translations!$B$221</f>
        <v>Unit</v>
      </c>
      <c r="L616" s="120" t="str">
        <f>Translations!$B$245</f>
        <v>Amounts</v>
      </c>
      <c r="S616" s="126" t="s">
        <v>1332</v>
      </c>
      <c r="T616" s="128"/>
      <c r="W616" s="104" t="s">
        <v>1333</v>
      </c>
      <c r="X616" s="102" t="b">
        <f>IF(G596="",FALSE,L614)</f>
        <v>0</v>
      </c>
    </row>
    <row r="617" spans="4:24" ht="12.75" customHeight="1" x14ac:dyDescent="0.25">
      <c r="D617" s="174">
        <v>1</v>
      </c>
      <c r="E617" s="175" t="str">
        <f t="shared" ref="E617:E625" si="38">IF(INDEX(CNTR_List_ExistProdProcNames,S617)=CONST_NA,"",INDEX(CNTR_List_ExistProdProcNames,S617))</f>
        <v/>
      </c>
      <c r="F617" s="176"/>
      <c r="G617" s="176"/>
      <c r="H617" s="176"/>
      <c r="I617" s="176"/>
      <c r="J617" s="177"/>
      <c r="K617" s="160" t="str">
        <f>K601</f>
        <v/>
      </c>
      <c r="L617" s="28"/>
      <c r="O617" s="161"/>
      <c r="R617" s="102" t="str">
        <f>CONST_PrecursorToGoodInput&amp;G596 &amp;"_"&amp;E617</f>
        <v>PrecToGood__</v>
      </c>
      <c r="S617" s="105">
        <f>MAX(S616:S616)+IF(D617=C596,2,1)</f>
        <v>1</v>
      </c>
      <c r="T617" s="127" t="str">
        <f>IF(G596="","",L617)</f>
        <v/>
      </c>
      <c r="V617" s="162" t="str">
        <f>IF(AND(G596&lt;&gt;"",E617&lt;&gt;"",L617&lt;&gt;""),TRUE,IF(AND(G596&lt;&gt;"",E617&lt;&gt;"",L617="",X617=FALSE),CONST_ErrorOrMissing&amp;C596,CONST_NA))</f>
        <v>n.a.</v>
      </c>
      <c r="W617" s="104" t="s">
        <v>1333</v>
      </c>
      <c r="X617" s="102" t="b">
        <f>IF(G596="",FALSE,OR(L614,E617=""))</f>
        <v>0</v>
      </c>
    </row>
    <row r="618" spans="4:24" ht="12.75" customHeight="1" x14ac:dyDescent="0.25">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x14ac:dyDescent="0.25">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x14ac:dyDescent="0.25">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x14ac:dyDescent="0.25">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x14ac:dyDescent="0.25">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x14ac:dyDescent="0.25">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x14ac:dyDescent="0.25">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x14ac:dyDescent="0.25">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x14ac:dyDescent="0.25">
      <c r="D626" s="120" t="s">
        <v>1334</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1333</v>
      </c>
      <c r="X626" s="102" t="b">
        <f>IF(G596="",FALSE,L614)</f>
        <v>0</v>
      </c>
    </row>
    <row r="627" spans="3:24" ht="12.75" customHeight="1" x14ac:dyDescent="0.25">
      <c r="D627" s="120" t="s">
        <v>1335</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x14ac:dyDescent="0.3">
      <c r="T628" s="128"/>
    </row>
    <row r="629" spans="3:24" ht="12.75" customHeight="1" x14ac:dyDescent="0.25">
      <c r="C629" s="188"/>
      <c r="D629" s="189"/>
      <c r="E629" s="190"/>
      <c r="F629" s="191"/>
      <c r="G629" s="191"/>
      <c r="H629" s="191"/>
      <c r="I629" s="191"/>
      <c r="J629" s="191"/>
      <c r="K629" s="191"/>
      <c r="L629" s="191"/>
      <c r="M629" s="191"/>
      <c r="N629" s="192"/>
      <c r="T629" s="128"/>
    </row>
    <row r="630" spans="3:24" ht="15" customHeight="1" x14ac:dyDescent="0.25">
      <c r="C630" s="193"/>
      <c r="D630" s="194" t="str">
        <f>Translations!$B$254</f>
        <v>Calculation of the attributed emissions:</v>
      </c>
      <c r="E630" s="195"/>
      <c r="F630" s="196"/>
      <c r="G630" s="196"/>
      <c r="H630" s="196"/>
      <c r="I630" s="196"/>
      <c r="J630" s="1190" t="str">
        <f>IF(G596="","",G596)</f>
        <v/>
      </c>
      <c r="K630" s="1190"/>
      <c r="L630" s="1190"/>
      <c r="M630" s="1190"/>
      <c r="N630" s="197"/>
      <c r="T630" s="128"/>
    </row>
    <row r="631" spans="3:24" ht="5.0999999999999996" customHeight="1" x14ac:dyDescent="0.25">
      <c r="C631" s="193"/>
      <c r="D631" s="198"/>
      <c r="E631" s="199"/>
      <c r="F631" s="196"/>
      <c r="G631" s="196"/>
      <c r="H631" s="196"/>
      <c r="I631" s="196"/>
      <c r="J631" s="196"/>
      <c r="K631" s="196"/>
      <c r="L631" s="196"/>
      <c r="M631" s="196"/>
      <c r="N631" s="197"/>
      <c r="T631" s="128"/>
    </row>
    <row r="632" spans="3:24" ht="12.75" customHeight="1" x14ac:dyDescent="0.25">
      <c r="C632" s="193"/>
      <c r="D632" s="200"/>
      <c r="E632" s="1172" t="str">
        <f ca="1">HYPERLINK("#"&amp;ADDRESS(MATCH($S632,G_FurtherGuidance!$S:$S,0),3,,,G_FurtherGuidance!$U$2),CONST_LinkToGuidanceSheet)</f>
        <v>Please click on this link for further guidance on how to complete this section.</v>
      </c>
      <c r="F632" s="1172"/>
      <c r="G632" s="1172"/>
      <c r="H632" s="1172"/>
      <c r="I632" s="1172"/>
      <c r="J632" s="1172"/>
      <c r="K632" s="1172"/>
      <c r="L632" s="1172"/>
      <c r="M632" s="1172"/>
      <c r="N632" s="203"/>
      <c r="R632" s="104" t="s">
        <v>1320</v>
      </c>
      <c r="S632" s="105">
        <v>3</v>
      </c>
      <c r="T632" s="128"/>
    </row>
    <row r="633" spans="3:24" ht="5.0999999999999996" customHeight="1" x14ac:dyDescent="0.25">
      <c r="C633" s="193"/>
      <c r="D633" s="198"/>
      <c r="E633" s="199"/>
      <c r="F633" s="196"/>
      <c r="G633" s="196"/>
      <c r="H633" s="196"/>
      <c r="I633" s="196"/>
      <c r="J633" s="199"/>
      <c r="K633" s="196"/>
      <c r="L633" s="196"/>
      <c r="M633" s="196"/>
      <c r="N633" s="197"/>
      <c r="T633" s="128"/>
      <c r="X633" s="104"/>
    </row>
    <row r="634" spans="3: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x14ac:dyDescent="0.25">
      <c r="C635" s="193"/>
      <c r="D635" s="200" t="s">
        <v>1336</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x14ac:dyDescent="0.25">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x14ac:dyDescent="0.25">
      <c r="C637" s="193"/>
      <c r="D637" s="205"/>
      <c r="E637" s="199"/>
      <c r="F637" s="196"/>
      <c r="G637" s="196"/>
      <c r="H637" s="196"/>
      <c r="I637" s="196"/>
      <c r="J637" s="196"/>
      <c r="K637" s="199"/>
      <c r="L637" s="196"/>
      <c r="M637" s="196"/>
      <c r="N637" s="197"/>
      <c r="T637" s="128"/>
      <c r="X637" s="104"/>
    </row>
    <row r="638" spans="3:24" ht="12.75" customHeight="1" x14ac:dyDescent="0.25">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x14ac:dyDescent="0.25">
      <c r="C639" s="193"/>
      <c r="D639" s="200" t="s">
        <v>1337</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x14ac:dyDescent="0.25">
      <c r="C640" s="193"/>
      <c r="D640" s="205"/>
      <c r="E640" s="199"/>
      <c r="F640" s="196"/>
      <c r="G640" s="196"/>
      <c r="H640" s="196"/>
      <c r="I640" s="196"/>
      <c r="J640" s="196"/>
      <c r="K640" s="196"/>
      <c r="L640" s="200"/>
      <c r="M640" s="200"/>
      <c r="N640" s="197"/>
      <c r="T640" s="128"/>
    </row>
    <row r="641" spans="3:24" ht="12.75" customHeight="1" x14ac:dyDescent="0.25">
      <c r="C641" s="193"/>
      <c r="D641" s="200" t="s">
        <v>1338</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1333</v>
      </c>
      <c r="X641" s="102" t="b">
        <f>AND(K635&lt;&gt;"",K635=FALSE)</f>
        <v>0</v>
      </c>
    </row>
    <row r="642" spans="3:24" ht="12.75" customHeight="1" x14ac:dyDescent="0.25">
      <c r="C642" s="193"/>
      <c r="D642" s="198" t="s">
        <v>1238</v>
      </c>
      <c r="E642" s="202" t="str">
        <f>Translations!$B$265</f>
        <v>Amount of net measurable heat</v>
      </c>
      <c r="F642" s="202"/>
      <c r="G642" s="202"/>
      <c r="H642" s="202"/>
      <c r="I642" s="202"/>
      <c r="J642" s="202"/>
      <c r="K642" s="207" t="s">
        <v>444</v>
      </c>
      <c r="L642" s="215"/>
      <c r="M642" s="215"/>
      <c r="N642" s="197"/>
      <c r="O642" s="161"/>
      <c r="T642" s="128"/>
      <c r="V642" s="162" t="str">
        <f>IF(AND(L596&lt;&gt;"",X642=FALSE),IF(COUNTA(L642:M642)=2,TRUE,CONST_ErrorOrMissing&amp;C596),CONST_NA)</f>
        <v>n.a.</v>
      </c>
      <c r="X642" s="102" t="b">
        <f>X641</f>
        <v>0</v>
      </c>
    </row>
    <row r="643" spans="3:24" ht="12.75" customHeight="1" x14ac:dyDescent="0.25">
      <c r="C643" s="193"/>
      <c r="D643" s="198" t="s">
        <v>1239</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x14ac:dyDescent="0.25">
      <c r="C644" s="193"/>
      <c r="D644" s="205"/>
      <c r="E644" s="199"/>
      <c r="F644" s="196"/>
      <c r="G644" s="196"/>
      <c r="H644" s="196"/>
      <c r="I644" s="196"/>
      <c r="J644" s="196"/>
      <c r="K644" s="196"/>
      <c r="L644" s="200"/>
      <c r="M644" s="200"/>
      <c r="N644" s="197"/>
      <c r="T644" s="128"/>
    </row>
    <row r="645" spans="3:24" ht="12.75" customHeight="1" x14ac:dyDescent="0.25">
      <c r="C645" s="193"/>
      <c r="D645" s="200" t="s">
        <v>1339</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1333</v>
      </c>
      <c r="X645" s="102" t="b">
        <f>AND(L635&lt;&gt;"",L635=FALSE)</f>
        <v>0</v>
      </c>
    </row>
    <row r="646" spans="3:24" ht="12.75" customHeight="1" x14ac:dyDescent="0.25">
      <c r="C646" s="193"/>
      <c r="D646" s="198" t="s">
        <v>1238</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x14ac:dyDescent="0.25">
      <c r="C647" s="193"/>
      <c r="D647" s="198" t="s">
        <v>1239</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x14ac:dyDescent="0.25">
      <c r="C648" s="193"/>
      <c r="D648" s="205"/>
      <c r="E648" s="199"/>
      <c r="F648" s="196"/>
      <c r="G648" s="196"/>
      <c r="H648" s="196"/>
      <c r="I648" s="196"/>
      <c r="J648" s="196"/>
      <c r="K648" s="196"/>
      <c r="L648" s="196"/>
      <c r="M648" s="196"/>
      <c r="N648" s="197"/>
      <c r="T648" s="128"/>
    </row>
    <row r="649" spans="3:24" ht="12.75" customHeight="1" x14ac:dyDescent="0.25">
      <c r="C649" s="193"/>
      <c r="D649" s="200" t="s">
        <v>1340</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1333</v>
      </c>
      <c r="X649" s="102" t="b">
        <f>M635=FALSE</f>
        <v>0</v>
      </c>
    </row>
    <row r="650" spans="3:24" ht="12.75" customHeight="1" x14ac:dyDescent="0.25">
      <c r="C650" s="193"/>
      <c r="D650" s="198" t="s">
        <v>1238</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x14ac:dyDescent="0.25">
      <c r="C651" s="193"/>
      <c r="D651" s="198" t="s">
        <v>1239</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x14ac:dyDescent="0.25">
      <c r="C652" s="193"/>
      <c r="D652" s="198" t="s">
        <v>1240</v>
      </c>
      <c r="E652" s="202" t="str">
        <f>Translations!$B$272</f>
        <v>Source of the emission factor</v>
      </c>
      <c r="F652" s="202"/>
      <c r="G652" s="202"/>
      <c r="H652" s="202"/>
      <c r="I652" s="202"/>
      <c r="J652" s="202"/>
      <c r="K652" s="302" t="s">
        <v>1329</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x14ac:dyDescent="0.25">
      <c r="C653" s="193"/>
      <c r="D653" s="205"/>
      <c r="E653" s="199"/>
      <c r="F653" s="196"/>
      <c r="G653" s="196"/>
      <c r="H653" s="196"/>
      <c r="I653" s="196"/>
      <c r="J653" s="196"/>
      <c r="K653" s="196"/>
      <c r="L653" s="196"/>
      <c r="M653" s="196"/>
      <c r="N653" s="197"/>
      <c r="T653" s="128"/>
    </row>
    <row r="654" spans="3:24" ht="12.75" customHeight="1" x14ac:dyDescent="0.25">
      <c r="C654" s="193"/>
      <c r="D654" s="205"/>
      <c r="E654" s="199"/>
      <c r="F654" s="196"/>
      <c r="G654" s="196"/>
      <c r="H654" s="196"/>
      <c r="I654" s="196"/>
      <c r="J654" s="196"/>
      <c r="K654" s="196"/>
      <c r="L654" s="196"/>
      <c r="M654" s="196"/>
      <c r="N654" s="197"/>
      <c r="T654" s="128"/>
    </row>
    <row r="655" spans="3:24" ht="12.75" customHeight="1" x14ac:dyDescent="0.25">
      <c r="C655" s="193"/>
      <c r="D655" s="200" t="s">
        <v>1341</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x14ac:dyDescent="0.25">
      <c r="C656" s="193"/>
      <c r="D656" s="198" t="s">
        <v>1238</v>
      </c>
      <c r="E656" s="202" t="str">
        <f>Translations!$B$274</f>
        <v>Amounts exported</v>
      </c>
      <c r="F656" s="202"/>
      <c r="G656" s="202"/>
      <c r="H656" s="202"/>
      <c r="I656" s="202"/>
      <c r="J656" s="202"/>
      <c r="K656" s="207" t="s">
        <v>1342</v>
      </c>
      <c r="L656" s="215"/>
      <c r="M656" s="196"/>
      <c r="N656" s="197"/>
      <c r="O656" s="161"/>
      <c r="T656" s="128"/>
      <c r="V656" s="162" t="str">
        <f>IF(L596&lt;&gt;"",IF(L656&lt;&gt;"",TRUE,CONST_ErrorOrMissing&amp;C596),CONST_NA)</f>
        <v>n.a.</v>
      </c>
    </row>
    <row r="657" spans="1:23" ht="12.75" customHeight="1" x14ac:dyDescent="0.25">
      <c r="C657" s="193"/>
      <c r="D657" s="198" t="s">
        <v>1239</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x14ac:dyDescent="0.3">
      <c r="C658" s="208"/>
      <c r="D658" s="209"/>
      <c r="E658" s="210"/>
      <c r="F658" s="211"/>
      <c r="G658" s="211"/>
      <c r="H658" s="211"/>
      <c r="I658" s="211"/>
      <c r="J658" s="211"/>
      <c r="K658" s="211"/>
      <c r="L658" s="211"/>
      <c r="M658" s="211"/>
      <c r="N658" s="212"/>
    </row>
    <row r="659" spans="1:23" ht="12.75" customHeight="1" thickBot="1" x14ac:dyDescent="0.3"/>
    <row r="660" spans="1:23" ht="12.75" customHeight="1" x14ac:dyDescent="0.25">
      <c r="B660" s="150"/>
      <c r="C660" s="150"/>
      <c r="D660" s="150"/>
      <c r="E660" s="150"/>
      <c r="F660" s="150"/>
      <c r="G660" s="150"/>
      <c r="H660" s="150"/>
      <c r="I660" s="150"/>
      <c r="J660" s="150"/>
      <c r="K660" s="150"/>
      <c r="L660" s="150"/>
      <c r="M660" s="150"/>
      <c r="N660" s="150"/>
      <c r="O660" s="150"/>
    </row>
    <row r="661" spans="1:23" ht="12.75" customHeight="1" x14ac:dyDescent="0.25"/>
    <row r="662" spans="1:23" s="89" customFormat="1" ht="12.75" hidden="1" customHeight="1" x14ac:dyDescent="0.25">
      <c r="A662" s="89" t="s">
        <v>0</v>
      </c>
      <c r="P662" s="90" t="s">
        <v>7</v>
      </c>
      <c r="W662" s="104"/>
    </row>
    <row r="663" spans="1:23" s="89" customFormat="1" ht="12.75" hidden="1" customHeight="1" x14ac:dyDescent="0.25">
      <c r="A663" s="89" t="s">
        <v>0</v>
      </c>
      <c r="P663" s="90"/>
      <c r="W663" s="104"/>
    </row>
    <row r="664" spans="1:23" s="89" customFormat="1" ht="12.75" hidden="1" customHeight="1" x14ac:dyDescent="0.25">
      <c r="A664" s="89" t="s">
        <v>0</v>
      </c>
      <c r="P664" s="90"/>
      <c r="W664" s="104"/>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phoneticPr fontId="68" type="noConversion"/>
  <conditionalFormatting sqref="D56:M72">
    <cfRule type="expression" dxfId="495" priority="477">
      <formula>$X56</formula>
    </cfRule>
  </conditionalFormatting>
  <conditionalFormatting sqref="D31:M41 M40:M42">
    <cfRule type="expression" dxfId="494" priority="476">
      <formula>$X31</formula>
    </cfRule>
  </conditionalFormatting>
  <conditionalFormatting sqref="O16:O23 O32:O42">
    <cfRule type="expression" dxfId="493" priority="474">
      <formula>$V16=TRUE</formula>
    </cfRule>
    <cfRule type="expression" dxfId="492" priority="475">
      <formula>$V16=CONST_NA</formula>
    </cfRule>
  </conditionalFormatting>
  <conditionalFormatting sqref="O57">
    <cfRule type="expression" dxfId="491" priority="472">
      <formula>$V57=TRUE</formula>
    </cfRule>
    <cfRule type="expression" dxfId="490" priority="473">
      <formula>$V57=CONST_NA</formula>
    </cfRule>
  </conditionalFormatting>
  <conditionalFormatting sqref="O58">
    <cfRule type="expression" dxfId="489" priority="470">
      <formula>$V58=TRUE</formula>
    </cfRule>
    <cfRule type="expression" dxfId="488" priority="471">
      <formula>$V58=CONST_NA</formula>
    </cfRule>
  </conditionalFormatting>
  <conditionalFormatting sqref="O61">
    <cfRule type="expression" dxfId="487" priority="468">
      <formula>$V61=TRUE</formula>
    </cfRule>
    <cfRule type="expression" dxfId="486" priority="469">
      <formula>$V61=CONST_NA</formula>
    </cfRule>
  </conditionalFormatting>
  <conditionalFormatting sqref="O65">
    <cfRule type="expression" dxfId="485" priority="464">
      <formula>$V65=TRUE</formula>
    </cfRule>
    <cfRule type="expression" dxfId="484" priority="465">
      <formula>$V65=CONST_NA</formula>
    </cfRule>
  </conditionalFormatting>
  <conditionalFormatting sqref="O66">
    <cfRule type="expression" dxfId="483" priority="462">
      <formula>$V66=TRUE</formula>
    </cfRule>
    <cfRule type="expression" dxfId="482" priority="463">
      <formula>$V66=CONST_NA</formula>
    </cfRule>
  </conditionalFormatting>
  <conditionalFormatting sqref="O54">
    <cfRule type="expression" dxfId="481" priority="458">
      <formula>$V54=TRUE</formula>
    </cfRule>
    <cfRule type="expression" dxfId="480" priority="459">
      <formula>$V54=CONST_NA</formula>
    </cfRule>
  </conditionalFormatting>
  <conditionalFormatting sqref="O50">
    <cfRule type="expression" dxfId="479" priority="456">
      <formula>$V50=TRUE</formula>
    </cfRule>
    <cfRule type="expression" dxfId="478" priority="457">
      <formula>$V50=CONST_NA</formula>
    </cfRule>
  </conditionalFormatting>
  <conditionalFormatting sqref="O27">
    <cfRule type="expression" dxfId="477" priority="453">
      <formula>$V27=TRUE</formula>
    </cfRule>
    <cfRule type="expression" dxfId="476" priority="454">
      <formula>$V27=CONST_NA</formula>
    </cfRule>
  </conditionalFormatting>
  <conditionalFormatting sqref="E17:M23">
    <cfRule type="expression" dxfId="475" priority="478">
      <formula>$H17=CONST_NA</formula>
    </cfRule>
  </conditionalFormatting>
  <conditionalFormatting sqref="C11:N658">
    <cfRule type="expression" dxfId="474" priority="391">
      <formula>INDEX($X:$X,MATCH(MAX(INDIRECT(ADDRESS(1,3)&amp;":"&amp;ADDRESS(ROW(D11),3))),$C:$C,0))</formula>
    </cfRule>
  </conditionalFormatting>
  <conditionalFormatting sqref="E72">
    <cfRule type="expression" dxfId="473" priority="383">
      <formula>$X72</formula>
    </cfRule>
  </conditionalFormatting>
  <conditionalFormatting sqref="O67">
    <cfRule type="expression" dxfId="472" priority="377">
      <formula>$V67=TRUE</formula>
    </cfRule>
    <cfRule type="expression" dxfId="471" priority="378">
      <formula>$V67=CONST_NA</formula>
    </cfRule>
  </conditionalFormatting>
  <conditionalFormatting sqref="G3:N5">
    <cfRule type="expression" dxfId="470" priority="376">
      <formula>COUNTIF($V:$V,CONST_ErrorOrMissing&amp;R3)&gt;0</formula>
    </cfRule>
  </conditionalFormatting>
  <conditionalFormatting sqref="O71">
    <cfRule type="expression" dxfId="469" priority="372">
      <formula>$V71=TRUE</formula>
    </cfRule>
    <cfRule type="expression" dxfId="468" priority="373">
      <formula>$V71=CONST_NA</formula>
    </cfRule>
  </conditionalFormatting>
  <conditionalFormatting sqref="O72">
    <cfRule type="expression" dxfId="467" priority="370">
      <formula>$V72=TRUE</formula>
    </cfRule>
    <cfRule type="expression" dxfId="466" priority="371">
      <formula>$V72=CONST_NA</formula>
    </cfRule>
  </conditionalFormatting>
  <conditionalFormatting sqref="D121:M137">
    <cfRule type="expression" dxfId="465" priority="280">
      <formula>$X121</formula>
    </cfRule>
  </conditionalFormatting>
  <conditionalFormatting sqref="D96:M106 M107">
    <cfRule type="expression" dxfId="464" priority="279">
      <formula>$X96</formula>
    </cfRule>
  </conditionalFormatting>
  <conditionalFormatting sqref="O81:O88 O97:O107">
    <cfRule type="expression" dxfId="463" priority="277">
      <formula>$V81=TRUE</formula>
    </cfRule>
    <cfRule type="expression" dxfId="462" priority="278">
      <formula>$V81=CONST_NA</formula>
    </cfRule>
  </conditionalFormatting>
  <conditionalFormatting sqref="O122">
    <cfRule type="expression" dxfId="461" priority="275">
      <formula>$V122=TRUE</formula>
    </cfRule>
    <cfRule type="expression" dxfId="460" priority="276">
      <formula>$V122=CONST_NA</formula>
    </cfRule>
  </conditionalFormatting>
  <conditionalFormatting sqref="O123">
    <cfRule type="expression" dxfId="459" priority="273">
      <formula>$V123=TRUE</formula>
    </cfRule>
    <cfRule type="expression" dxfId="458" priority="274">
      <formula>$V123=CONST_NA</formula>
    </cfRule>
  </conditionalFormatting>
  <conditionalFormatting sqref="O126">
    <cfRule type="expression" dxfId="457" priority="271">
      <formula>$V126=TRUE</formula>
    </cfRule>
    <cfRule type="expression" dxfId="456" priority="272">
      <formula>$V126=CONST_NA</formula>
    </cfRule>
  </conditionalFormatting>
  <conditionalFormatting sqref="O130">
    <cfRule type="expression" dxfId="455" priority="269">
      <formula>$V130=TRUE</formula>
    </cfRule>
    <cfRule type="expression" dxfId="454" priority="270">
      <formula>$V130=CONST_NA</formula>
    </cfRule>
  </conditionalFormatting>
  <conditionalFormatting sqref="O131">
    <cfRule type="expression" dxfId="453" priority="267">
      <formula>$V131=TRUE</formula>
    </cfRule>
    <cfRule type="expression" dxfId="452" priority="268">
      <formula>$V131=CONST_NA</formula>
    </cfRule>
  </conditionalFormatting>
  <conditionalFormatting sqref="O119">
    <cfRule type="expression" dxfId="451" priority="265">
      <formula>$V119=TRUE</formula>
    </cfRule>
    <cfRule type="expression" dxfId="450" priority="266">
      <formula>$V119=CONST_NA</formula>
    </cfRule>
  </conditionalFormatting>
  <conditionalFormatting sqref="O115">
    <cfRule type="expression" dxfId="449" priority="263">
      <formula>$V115=TRUE</formula>
    </cfRule>
    <cfRule type="expression" dxfId="448" priority="264">
      <formula>$V115=CONST_NA</formula>
    </cfRule>
  </conditionalFormatting>
  <conditionalFormatting sqref="O92">
    <cfRule type="expression" dxfId="447" priority="261">
      <formula>$V92=TRUE</formula>
    </cfRule>
    <cfRule type="expression" dxfId="446" priority="262">
      <formula>$V92=CONST_NA</formula>
    </cfRule>
  </conditionalFormatting>
  <conditionalFormatting sqref="E82:M88">
    <cfRule type="expression" dxfId="445" priority="281">
      <formula>$H82=CONST_NA</formula>
    </cfRule>
  </conditionalFormatting>
  <conditionalFormatting sqref="E137">
    <cfRule type="expression" dxfId="444" priority="259">
      <formula>$X137</formula>
    </cfRule>
  </conditionalFormatting>
  <conditionalFormatting sqref="O132">
    <cfRule type="expression" dxfId="443" priority="257">
      <formula>$V132=TRUE</formula>
    </cfRule>
    <cfRule type="expression" dxfId="442" priority="258">
      <formula>$V132=CONST_NA</formula>
    </cfRule>
  </conditionalFormatting>
  <conditionalFormatting sqref="O136">
    <cfRule type="expression" dxfId="441" priority="255">
      <formula>$V136=TRUE</formula>
    </cfRule>
    <cfRule type="expression" dxfId="440" priority="256">
      <formula>$V136=CONST_NA</formula>
    </cfRule>
  </conditionalFormatting>
  <conditionalFormatting sqref="O137">
    <cfRule type="expression" dxfId="439" priority="253">
      <formula>$V137=TRUE</formula>
    </cfRule>
    <cfRule type="expression" dxfId="438" priority="254">
      <formula>$V137=CONST_NA</formula>
    </cfRule>
  </conditionalFormatting>
  <conditionalFormatting sqref="D186:M202">
    <cfRule type="expression" dxfId="437" priority="250">
      <formula>$X186</formula>
    </cfRule>
  </conditionalFormatting>
  <conditionalFormatting sqref="D161:M171 M172">
    <cfRule type="expression" dxfId="436" priority="249">
      <formula>$X161</formula>
    </cfRule>
  </conditionalFormatting>
  <conditionalFormatting sqref="O146:O153 O162:O172">
    <cfRule type="expression" dxfId="435" priority="247">
      <formula>$V146=TRUE</formula>
    </cfRule>
    <cfRule type="expression" dxfId="434" priority="248">
      <formula>$V146=CONST_NA</formula>
    </cfRule>
  </conditionalFormatting>
  <conditionalFormatting sqref="O187">
    <cfRule type="expression" dxfId="433" priority="245">
      <formula>$V187=TRUE</formula>
    </cfRule>
    <cfRule type="expression" dxfId="432" priority="246">
      <formula>$V187=CONST_NA</formula>
    </cfRule>
  </conditionalFormatting>
  <conditionalFormatting sqref="O188">
    <cfRule type="expression" dxfId="431" priority="243">
      <formula>$V188=TRUE</formula>
    </cfRule>
    <cfRule type="expression" dxfId="430" priority="244">
      <formula>$V188=CONST_NA</formula>
    </cfRule>
  </conditionalFormatting>
  <conditionalFormatting sqref="O191">
    <cfRule type="expression" dxfId="429" priority="241">
      <formula>$V191=TRUE</formula>
    </cfRule>
    <cfRule type="expression" dxfId="428" priority="242">
      <formula>$V191=CONST_NA</formula>
    </cfRule>
  </conditionalFormatting>
  <conditionalFormatting sqref="O195">
    <cfRule type="expression" dxfId="427" priority="239">
      <formula>$V195=TRUE</formula>
    </cfRule>
    <cfRule type="expression" dxfId="426" priority="240">
      <formula>$V195=CONST_NA</formula>
    </cfRule>
  </conditionalFormatting>
  <conditionalFormatting sqref="O196">
    <cfRule type="expression" dxfId="425" priority="237">
      <formula>$V196=TRUE</formula>
    </cfRule>
    <cfRule type="expression" dxfId="424" priority="238">
      <formula>$V196=CONST_NA</formula>
    </cfRule>
  </conditionalFormatting>
  <conditionalFormatting sqref="O184">
    <cfRule type="expression" dxfId="423" priority="235">
      <formula>$V184=TRUE</formula>
    </cfRule>
    <cfRule type="expression" dxfId="422" priority="236">
      <formula>$V184=CONST_NA</formula>
    </cfRule>
  </conditionalFormatting>
  <conditionalFormatting sqref="O180">
    <cfRule type="expression" dxfId="421" priority="233">
      <formula>$V180=TRUE</formula>
    </cfRule>
    <cfRule type="expression" dxfId="420" priority="234">
      <formula>$V180=CONST_NA</formula>
    </cfRule>
  </conditionalFormatting>
  <conditionalFormatting sqref="O157">
    <cfRule type="expression" dxfId="419" priority="231">
      <formula>$V157=TRUE</formula>
    </cfRule>
    <cfRule type="expression" dxfId="418" priority="232">
      <formula>$V157=CONST_NA</formula>
    </cfRule>
  </conditionalFormatting>
  <conditionalFormatting sqref="E147:M153">
    <cfRule type="expression" dxfId="417" priority="251">
      <formula>$H147=CONST_NA</formula>
    </cfRule>
  </conditionalFormatting>
  <conditionalFormatting sqref="E202">
    <cfRule type="expression" dxfId="416" priority="230">
      <formula>$X202</formula>
    </cfRule>
  </conditionalFormatting>
  <conditionalFormatting sqref="O197">
    <cfRule type="expression" dxfId="415" priority="228">
      <formula>$V197=TRUE</formula>
    </cfRule>
    <cfRule type="expression" dxfId="414" priority="229">
      <formula>$V197=CONST_NA</formula>
    </cfRule>
  </conditionalFormatting>
  <conditionalFormatting sqref="O201">
    <cfRule type="expression" dxfId="413" priority="226">
      <formula>$V201=TRUE</formula>
    </cfRule>
    <cfRule type="expression" dxfId="412" priority="227">
      <formula>$V201=CONST_NA</formula>
    </cfRule>
  </conditionalFormatting>
  <conditionalFormatting sqref="O202">
    <cfRule type="expression" dxfId="411" priority="224">
      <formula>$V202=TRUE</formula>
    </cfRule>
    <cfRule type="expression" dxfId="410" priority="225">
      <formula>$V202=CONST_NA</formula>
    </cfRule>
  </conditionalFormatting>
  <conditionalFormatting sqref="D251:M267">
    <cfRule type="expression" dxfId="409" priority="221">
      <formula>$X251</formula>
    </cfRule>
  </conditionalFormatting>
  <conditionalFormatting sqref="D226:M236 M237">
    <cfRule type="expression" dxfId="408" priority="220">
      <formula>$X226</formula>
    </cfRule>
  </conditionalFormatting>
  <conditionalFormatting sqref="O211:O218 O227:O237">
    <cfRule type="expression" dxfId="407" priority="218">
      <formula>$V211=TRUE</formula>
    </cfRule>
    <cfRule type="expression" dxfId="406" priority="219">
      <formula>$V211=CONST_NA</formula>
    </cfRule>
  </conditionalFormatting>
  <conditionalFormatting sqref="O252">
    <cfRule type="expression" dxfId="405" priority="216">
      <formula>$V252=TRUE</formula>
    </cfRule>
    <cfRule type="expression" dxfId="404" priority="217">
      <formula>$V252=CONST_NA</formula>
    </cfRule>
  </conditionalFormatting>
  <conditionalFormatting sqref="O253">
    <cfRule type="expression" dxfId="403" priority="214">
      <formula>$V253=TRUE</formula>
    </cfRule>
    <cfRule type="expression" dxfId="402" priority="215">
      <formula>$V253=CONST_NA</formula>
    </cfRule>
  </conditionalFormatting>
  <conditionalFormatting sqref="O256">
    <cfRule type="expression" dxfId="401" priority="212">
      <formula>$V256=TRUE</formula>
    </cfRule>
    <cfRule type="expression" dxfId="400" priority="213">
      <formula>$V256=CONST_NA</formula>
    </cfRule>
  </conditionalFormatting>
  <conditionalFormatting sqref="O260">
    <cfRule type="expression" dxfId="399" priority="210">
      <formula>$V260=TRUE</formula>
    </cfRule>
    <cfRule type="expression" dxfId="398" priority="211">
      <formula>$V260=CONST_NA</formula>
    </cfRule>
  </conditionalFormatting>
  <conditionalFormatting sqref="O261">
    <cfRule type="expression" dxfId="397" priority="208">
      <formula>$V261=TRUE</formula>
    </cfRule>
    <cfRule type="expression" dxfId="396" priority="209">
      <formula>$V261=CONST_NA</formula>
    </cfRule>
  </conditionalFormatting>
  <conditionalFormatting sqref="O249">
    <cfRule type="expression" dxfId="395" priority="206">
      <formula>$V249=TRUE</formula>
    </cfRule>
    <cfRule type="expression" dxfId="394" priority="207">
      <formula>$V249=CONST_NA</formula>
    </cfRule>
  </conditionalFormatting>
  <conditionalFormatting sqref="O245">
    <cfRule type="expression" dxfId="393" priority="204">
      <formula>$V245=TRUE</formula>
    </cfRule>
    <cfRule type="expression" dxfId="392" priority="205">
      <formula>$V245=CONST_NA</formula>
    </cfRule>
  </conditionalFormatting>
  <conditionalFormatting sqref="O222">
    <cfRule type="expression" dxfId="391" priority="202">
      <formula>$V222=TRUE</formula>
    </cfRule>
    <cfRule type="expression" dxfId="390" priority="203">
      <formula>$V222=CONST_NA</formula>
    </cfRule>
  </conditionalFormatting>
  <conditionalFormatting sqref="E212:M218">
    <cfRule type="expression" dxfId="389" priority="222">
      <formula>$H212=CONST_NA</formula>
    </cfRule>
  </conditionalFormatting>
  <conditionalFormatting sqref="E267">
    <cfRule type="expression" dxfId="388" priority="201">
      <formula>$X267</formula>
    </cfRule>
  </conditionalFormatting>
  <conditionalFormatting sqref="O262">
    <cfRule type="expression" dxfId="387" priority="199">
      <formula>$V262=TRUE</formula>
    </cfRule>
    <cfRule type="expression" dxfId="386" priority="200">
      <formula>$V262=CONST_NA</formula>
    </cfRule>
  </conditionalFormatting>
  <conditionalFormatting sqref="O266">
    <cfRule type="expression" dxfId="385" priority="197">
      <formula>$V266=TRUE</formula>
    </cfRule>
    <cfRule type="expression" dxfId="384" priority="198">
      <formula>$V266=CONST_NA</formula>
    </cfRule>
  </conditionalFormatting>
  <conditionalFormatting sqref="O267">
    <cfRule type="expression" dxfId="383" priority="195">
      <formula>$V267=TRUE</formula>
    </cfRule>
    <cfRule type="expression" dxfId="382" priority="196">
      <formula>$V267=CONST_NA</formula>
    </cfRule>
  </conditionalFormatting>
  <conditionalFormatting sqref="D316:M332">
    <cfRule type="expression" dxfId="381" priority="192">
      <formula>$X316</formula>
    </cfRule>
  </conditionalFormatting>
  <conditionalFormatting sqref="D291:M301 M302">
    <cfRule type="expression" dxfId="380" priority="191">
      <formula>$X291</formula>
    </cfRule>
  </conditionalFormatting>
  <conditionalFormatting sqref="O276:O283 O292:O302">
    <cfRule type="expression" dxfId="379" priority="189">
      <formula>$V276=TRUE</formula>
    </cfRule>
    <cfRule type="expression" dxfId="378" priority="190">
      <formula>$V276=CONST_NA</formula>
    </cfRule>
  </conditionalFormatting>
  <conditionalFormatting sqref="O317">
    <cfRule type="expression" dxfId="377" priority="187">
      <formula>$V317=TRUE</formula>
    </cfRule>
    <cfRule type="expression" dxfId="376" priority="188">
      <formula>$V317=CONST_NA</formula>
    </cfRule>
  </conditionalFormatting>
  <conditionalFormatting sqref="O318">
    <cfRule type="expression" dxfId="375" priority="185">
      <formula>$V318=TRUE</formula>
    </cfRule>
    <cfRule type="expression" dxfId="374" priority="186">
      <formula>$V318=CONST_NA</formula>
    </cfRule>
  </conditionalFormatting>
  <conditionalFormatting sqref="O321">
    <cfRule type="expression" dxfId="373" priority="183">
      <formula>$V321=TRUE</formula>
    </cfRule>
    <cfRule type="expression" dxfId="372" priority="184">
      <formula>$V321=CONST_NA</formula>
    </cfRule>
  </conditionalFormatting>
  <conditionalFormatting sqref="O325">
    <cfRule type="expression" dxfId="371" priority="181">
      <formula>$V325=TRUE</formula>
    </cfRule>
    <cfRule type="expression" dxfId="370" priority="182">
      <formula>$V325=CONST_NA</formula>
    </cfRule>
  </conditionalFormatting>
  <conditionalFormatting sqref="O326">
    <cfRule type="expression" dxfId="369" priority="179">
      <formula>$V326=TRUE</formula>
    </cfRule>
    <cfRule type="expression" dxfId="368" priority="180">
      <formula>$V326=CONST_NA</formula>
    </cfRule>
  </conditionalFormatting>
  <conditionalFormatting sqref="O314">
    <cfRule type="expression" dxfId="367" priority="177">
      <formula>$V314=TRUE</formula>
    </cfRule>
    <cfRule type="expression" dxfId="366" priority="178">
      <formula>$V314=CONST_NA</formula>
    </cfRule>
  </conditionalFormatting>
  <conditionalFormatting sqref="O310">
    <cfRule type="expression" dxfId="365" priority="175">
      <formula>$V310=TRUE</formula>
    </cfRule>
    <cfRule type="expression" dxfId="364" priority="176">
      <formula>$V310=CONST_NA</formula>
    </cfRule>
  </conditionalFormatting>
  <conditionalFormatting sqref="O287">
    <cfRule type="expression" dxfId="363" priority="173">
      <formula>$V287=TRUE</formula>
    </cfRule>
    <cfRule type="expression" dxfId="362" priority="174">
      <formula>$V287=CONST_NA</formula>
    </cfRule>
  </conditionalFormatting>
  <conditionalFormatting sqref="E277:M283">
    <cfRule type="expression" dxfId="361" priority="193">
      <formula>$H277=CONST_NA</formula>
    </cfRule>
  </conditionalFormatting>
  <conditionalFormatting sqref="E332">
    <cfRule type="expression" dxfId="360" priority="172">
      <formula>$X332</formula>
    </cfRule>
  </conditionalFormatting>
  <conditionalFormatting sqref="O327">
    <cfRule type="expression" dxfId="359" priority="170">
      <formula>$V327=TRUE</formula>
    </cfRule>
    <cfRule type="expression" dxfId="358" priority="171">
      <formula>$V327=CONST_NA</formula>
    </cfRule>
  </conditionalFormatting>
  <conditionalFormatting sqref="O331">
    <cfRule type="expression" dxfId="357" priority="168">
      <formula>$V331=TRUE</formula>
    </cfRule>
    <cfRule type="expression" dxfId="356" priority="169">
      <formula>$V331=CONST_NA</formula>
    </cfRule>
  </conditionalFormatting>
  <conditionalFormatting sqref="O332">
    <cfRule type="expression" dxfId="355" priority="166">
      <formula>$V332=TRUE</formula>
    </cfRule>
    <cfRule type="expression" dxfId="354" priority="167">
      <formula>$V332=CONST_NA</formula>
    </cfRule>
  </conditionalFormatting>
  <conditionalFormatting sqref="D381:M397">
    <cfRule type="expression" dxfId="353" priority="163">
      <formula>$X381</formula>
    </cfRule>
  </conditionalFormatting>
  <conditionalFormatting sqref="D356:M366 M367">
    <cfRule type="expression" dxfId="352" priority="162">
      <formula>$X356</formula>
    </cfRule>
  </conditionalFormatting>
  <conditionalFormatting sqref="O341:O348 O357:O367">
    <cfRule type="expression" dxfId="351" priority="160">
      <formula>$V341=TRUE</formula>
    </cfRule>
    <cfRule type="expression" dxfId="350" priority="161">
      <formula>$V341=CONST_NA</formula>
    </cfRule>
  </conditionalFormatting>
  <conditionalFormatting sqref="O382">
    <cfRule type="expression" dxfId="349" priority="158">
      <formula>$V382=TRUE</formula>
    </cfRule>
    <cfRule type="expression" dxfId="348" priority="159">
      <formula>$V382=CONST_NA</formula>
    </cfRule>
  </conditionalFormatting>
  <conditionalFormatting sqref="O383">
    <cfRule type="expression" dxfId="347" priority="156">
      <formula>$V383=TRUE</formula>
    </cfRule>
    <cfRule type="expression" dxfId="346" priority="157">
      <formula>$V383=CONST_NA</formula>
    </cfRule>
  </conditionalFormatting>
  <conditionalFormatting sqref="O386">
    <cfRule type="expression" dxfId="345" priority="154">
      <formula>$V386=TRUE</formula>
    </cfRule>
    <cfRule type="expression" dxfId="344" priority="155">
      <formula>$V386=CONST_NA</formula>
    </cfRule>
  </conditionalFormatting>
  <conditionalFormatting sqref="O390">
    <cfRule type="expression" dxfId="343" priority="152">
      <formula>$V390=TRUE</formula>
    </cfRule>
    <cfRule type="expression" dxfId="342" priority="153">
      <formula>$V390=CONST_NA</formula>
    </cfRule>
  </conditionalFormatting>
  <conditionalFormatting sqref="O391">
    <cfRule type="expression" dxfId="341" priority="150">
      <formula>$V391=TRUE</formula>
    </cfRule>
    <cfRule type="expression" dxfId="340" priority="151">
      <formula>$V391=CONST_NA</formula>
    </cfRule>
  </conditionalFormatting>
  <conditionalFormatting sqref="O379">
    <cfRule type="expression" dxfId="339" priority="148">
      <formula>$V379=TRUE</formula>
    </cfRule>
    <cfRule type="expression" dxfId="338" priority="149">
      <formula>$V379=CONST_NA</formula>
    </cfRule>
  </conditionalFormatting>
  <conditionalFormatting sqref="O375">
    <cfRule type="expression" dxfId="337" priority="146">
      <formula>$V375=TRUE</formula>
    </cfRule>
    <cfRule type="expression" dxfId="336" priority="147">
      <formula>$V375=CONST_NA</formula>
    </cfRule>
  </conditionalFormatting>
  <conditionalFormatting sqref="O352">
    <cfRule type="expression" dxfId="335" priority="144">
      <formula>$V352=TRUE</formula>
    </cfRule>
    <cfRule type="expression" dxfId="334" priority="145">
      <formula>$V352=CONST_NA</formula>
    </cfRule>
  </conditionalFormatting>
  <conditionalFormatting sqref="E342:M348">
    <cfRule type="expression" dxfId="333" priority="164">
      <formula>$H342=CONST_NA</formula>
    </cfRule>
  </conditionalFormatting>
  <conditionalFormatting sqref="E397">
    <cfRule type="expression" dxfId="332" priority="143">
      <formula>$X397</formula>
    </cfRule>
  </conditionalFormatting>
  <conditionalFormatting sqref="O392">
    <cfRule type="expression" dxfId="331" priority="141">
      <formula>$V392=TRUE</formula>
    </cfRule>
    <cfRule type="expression" dxfId="330" priority="142">
      <formula>$V392=CONST_NA</formula>
    </cfRule>
  </conditionalFormatting>
  <conditionalFormatting sqref="O396">
    <cfRule type="expression" dxfId="329" priority="139">
      <formula>$V396=TRUE</formula>
    </cfRule>
    <cfRule type="expression" dxfId="328" priority="140">
      <formula>$V396=CONST_NA</formula>
    </cfRule>
  </conditionalFormatting>
  <conditionalFormatting sqref="O397">
    <cfRule type="expression" dxfId="327" priority="137">
      <formula>$V397=TRUE</formula>
    </cfRule>
    <cfRule type="expression" dxfId="326" priority="138">
      <formula>$V397=CONST_NA</formula>
    </cfRule>
  </conditionalFormatting>
  <conditionalFormatting sqref="D446:M462">
    <cfRule type="expression" dxfId="325" priority="134">
      <formula>$X446</formula>
    </cfRule>
  </conditionalFormatting>
  <conditionalFormatting sqref="D421:M431 M432">
    <cfRule type="expression" dxfId="324" priority="133">
      <formula>$X421</formula>
    </cfRule>
  </conditionalFormatting>
  <conditionalFormatting sqref="O406:O413 O422:O432">
    <cfRule type="expression" dxfId="323" priority="131">
      <formula>$V406=TRUE</formula>
    </cfRule>
    <cfRule type="expression" dxfId="322" priority="132">
      <formula>$V406=CONST_NA</formula>
    </cfRule>
  </conditionalFormatting>
  <conditionalFormatting sqref="O447">
    <cfRule type="expression" dxfId="321" priority="129">
      <formula>$V447=TRUE</formula>
    </cfRule>
    <cfRule type="expression" dxfId="320" priority="130">
      <formula>$V447=CONST_NA</formula>
    </cfRule>
  </conditionalFormatting>
  <conditionalFormatting sqref="O448">
    <cfRule type="expression" dxfId="319" priority="127">
      <formula>$V448=TRUE</formula>
    </cfRule>
    <cfRule type="expression" dxfId="318" priority="128">
      <formula>$V448=CONST_NA</formula>
    </cfRule>
  </conditionalFormatting>
  <conditionalFormatting sqref="O451">
    <cfRule type="expression" dxfId="317" priority="125">
      <formula>$V451=TRUE</formula>
    </cfRule>
    <cfRule type="expression" dxfId="316" priority="126">
      <formula>$V451=CONST_NA</formula>
    </cfRule>
  </conditionalFormatting>
  <conditionalFormatting sqref="O455">
    <cfRule type="expression" dxfId="315" priority="123">
      <formula>$V455=TRUE</formula>
    </cfRule>
    <cfRule type="expression" dxfId="314" priority="124">
      <formula>$V455=CONST_NA</formula>
    </cfRule>
  </conditionalFormatting>
  <conditionalFormatting sqref="O456">
    <cfRule type="expression" dxfId="313" priority="121">
      <formula>$V456=TRUE</formula>
    </cfRule>
    <cfRule type="expression" dxfId="312" priority="122">
      <formula>$V456=CONST_NA</formula>
    </cfRule>
  </conditionalFormatting>
  <conditionalFormatting sqref="O444">
    <cfRule type="expression" dxfId="311" priority="119">
      <formula>$V444=TRUE</formula>
    </cfRule>
    <cfRule type="expression" dxfId="310" priority="120">
      <formula>$V444=CONST_NA</formula>
    </cfRule>
  </conditionalFormatting>
  <conditionalFormatting sqref="O440">
    <cfRule type="expression" dxfId="309" priority="117">
      <formula>$V440=TRUE</formula>
    </cfRule>
    <cfRule type="expression" dxfId="308" priority="118">
      <formula>$V440=CONST_NA</formula>
    </cfRule>
  </conditionalFormatting>
  <conditionalFormatting sqref="O417">
    <cfRule type="expression" dxfId="307" priority="115">
      <formula>$V417=TRUE</formula>
    </cfRule>
    <cfRule type="expression" dxfId="306" priority="116">
      <formula>$V417=CONST_NA</formula>
    </cfRule>
  </conditionalFormatting>
  <conditionalFormatting sqref="E407:M413">
    <cfRule type="expression" dxfId="305" priority="135">
      <formula>$H407=CONST_NA</formula>
    </cfRule>
  </conditionalFormatting>
  <conditionalFormatting sqref="E462">
    <cfRule type="expression" dxfId="304" priority="114">
      <formula>$X462</formula>
    </cfRule>
  </conditionalFormatting>
  <conditionalFormatting sqref="O457">
    <cfRule type="expression" dxfId="303" priority="112">
      <formula>$V457=TRUE</formula>
    </cfRule>
    <cfRule type="expression" dxfId="302" priority="113">
      <formula>$V457=CONST_NA</formula>
    </cfRule>
  </conditionalFormatting>
  <conditionalFormatting sqref="O461">
    <cfRule type="expression" dxfId="301" priority="110">
      <formula>$V461=TRUE</formula>
    </cfRule>
    <cfRule type="expression" dxfId="300" priority="111">
      <formula>$V461=CONST_NA</formula>
    </cfRule>
  </conditionalFormatting>
  <conditionalFormatting sqref="O462">
    <cfRule type="expression" dxfId="299" priority="108">
      <formula>$V462=TRUE</formula>
    </cfRule>
    <cfRule type="expression" dxfId="298" priority="109">
      <formula>$V462=CONST_NA</formula>
    </cfRule>
  </conditionalFormatting>
  <conditionalFormatting sqref="D511:M527">
    <cfRule type="expression" dxfId="297" priority="105">
      <formula>$X511</formula>
    </cfRule>
  </conditionalFormatting>
  <conditionalFormatting sqref="D486:M496 M497">
    <cfRule type="expression" dxfId="296" priority="104">
      <formula>$X486</formula>
    </cfRule>
  </conditionalFormatting>
  <conditionalFormatting sqref="O471:O478 O487:O497">
    <cfRule type="expression" dxfId="295" priority="102">
      <formula>$V471=TRUE</formula>
    </cfRule>
    <cfRule type="expression" dxfId="294" priority="103">
      <formula>$V471=CONST_NA</formula>
    </cfRule>
  </conditionalFormatting>
  <conditionalFormatting sqref="O512">
    <cfRule type="expression" dxfId="293" priority="100">
      <formula>$V512=TRUE</formula>
    </cfRule>
    <cfRule type="expression" dxfId="292" priority="101">
      <formula>$V512=CONST_NA</formula>
    </cfRule>
  </conditionalFormatting>
  <conditionalFormatting sqref="O513">
    <cfRule type="expression" dxfId="291" priority="98">
      <formula>$V513=TRUE</formula>
    </cfRule>
    <cfRule type="expression" dxfId="290" priority="99">
      <formula>$V513=CONST_NA</formula>
    </cfRule>
  </conditionalFormatting>
  <conditionalFormatting sqref="O516">
    <cfRule type="expression" dxfId="289" priority="96">
      <formula>$V516=TRUE</formula>
    </cfRule>
    <cfRule type="expression" dxfId="288" priority="97">
      <formula>$V516=CONST_NA</formula>
    </cfRule>
  </conditionalFormatting>
  <conditionalFormatting sqref="O520">
    <cfRule type="expression" dxfId="287" priority="94">
      <formula>$V520=TRUE</formula>
    </cfRule>
    <cfRule type="expression" dxfId="286" priority="95">
      <formula>$V520=CONST_NA</formula>
    </cfRule>
  </conditionalFormatting>
  <conditionalFormatting sqref="O521">
    <cfRule type="expression" dxfId="285" priority="92">
      <formula>$V521=TRUE</formula>
    </cfRule>
    <cfRule type="expression" dxfId="284" priority="93">
      <formula>$V521=CONST_NA</formula>
    </cfRule>
  </conditionalFormatting>
  <conditionalFormatting sqref="O509">
    <cfRule type="expression" dxfId="283" priority="90">
      <formula>$V509=TRUE</formula>
    </cfRule>
    <cfRule type="expression" dxfId="282" priority="91">
      <formula>$V509=CONST_NA</formula>
    </cfRule>
  </conditionalFormatting>
  <conditionalFormatting sqref="O505">
    <cfRule type="expression" dxfId="281" priority="88">
      <formula>$V505=TRUE</formula>
    </cfRule>
    <cfRule type="expression" dxfId="280" priority="89">
      <formula>$V505=CONST_NA</formula>
    </cfRule>
  </conditionalFormatting>
  <conditionalFormatting sqref="O482">
    <cfRule type="expression" dxfId="279" priority="86">
      <formula>$V482=TRUE</formula>
    </cfRule>
    <cfRule type="expression" dxfId="278" priority="87">
      <formula>$V482=CONST_NA</formula>
    </cfRule>
  </conditionalFormatting>
  <conditionalFormatting sqref="E472:M478">
    <cfRule type="expression" dxfId="277" priority="106">
      <formula>$H472=CONST_NA</formula>
    </cfRule>
  </conditionalFormatting>
  <conditionalFormatting sqref="E527">
    <cfRule type="expression" dxfId="276" priority="85">
      <formula>$X527</formula>
    </cfRule>
  </conditionalFormatting>
  <conditionalFormatting sqref="O522">
    <cfRule type="expression" dxfId="275" priority="83">
      <formula>$V522=TRUE</formula>
    </cfRule>
    <cfRule type="expression" dxfId="274" priority="84">
      <formula>$V522=CONST_NA</formula>
    </cfRule>
  </conditionalFormatting>
  <conditionalFormatting sqref="O526">
    <cfRule type="expression" dxfId="273" priority="81">
      <formula>$V526=TRUE</formula>
    </cfRule>
    <cfRule type="expression" dxfId="272" priority="82">
      <formula>$V526=CONST_NA</formula>
    </cfRule>
  </conditionalFormatting>
  <conditionalFormatting sqref="O527">
    <cfRule type="expression" dxfId="271" priority="79">
      <formula>$V527=TRUE</formula>
    </cfRule>
    <cfRule type="expression" dxfId="270" priority="80">
      <formula>$V527=CONST_NA</formula>
    </cfRule>
  </conditionalFormatting>
  <conditionalFormatting sqref="D576:M592">
    <cfRule type="expression" dxfId="269" priority="76">
      <formula>$X576</formula>
    </cfRule>
  </conditionalFormatting>
  <conditionalFormatting sqref="D551:M561 M562">
    <cfRule type="expression" dxfId="268" priority="75">
      <formula>$X551</formula>
    </cfRule>
  </conditionalFormatting>
  <conditionalFormatting sqref="O536:O543 O552:O562">
    <cfRule type="expression" dxfId="267" priority="73">
      <formula>$V536=TRUE</formula>
    </cfRule>
    <cfRule type="expression" dxfId="266" priority="74">
      <formula>$V536=CONST_NA</formula>
    </cfRule>
  </conditionalFormatting>
  <conditionalFormatting sqref="O577">
    <cfRule type="expression" dxfId="265" priority="71">
      <formula>$V577=TRUE</formula>
    </cfRule>
    <cfRule type="expression" dxfId="264" priority="72">
      <formula>$V577=CONST_NA</formula>
    </cfRule>
  </conditionalFormatting>
  <conditionalFormatting sqref="O578">
    <cfRule type="expression" dxfId="263" priority="69">
      <formula>$V578=TRUE</formula>
    </cfRule>
    <cfRule type="expression" dxfId="262" priority="70">
      <formula>$V578=CONST_NA</formula>
    </cfRule>
  </conditionalFormatting>
  <conditionalFormatting sqref="O581">
    <cfRule type="expression" dxfId="261" priority="67">
      <formula>$V581=TRUE</formula>
    </cfRule>
    <cfRule type="expression" dxfId="260" priority="68">
      <formula>$V581=CONST_NA</formula>
    </cfRule>
  </conditionalFormatting>
  <conditionalFormatting sqref="O585">
    <cfRule type="expression" dxfId="259" priority="65">
      <formula>$V585=TRUE</formula>
    </cfRule>
    <cfRule type="expression" dxfId="258" priority="66">
      <formula>$V585=CONST_NA</formula>
    </cfRule>
  </conditionalFormatting>
  <conditionalFormatting sqref="O586">
    <cfRule type="expression" dxfId="257" priority="63">
      <formula>$V586=TRUE</formula>
    </cfRule>
    <cfRule type="expression" dxfId="256" priority="64">
      <formula>$V586=CONST_NA</formula>
    </cfRule>
  </conditionalFormatting>
  <conditionalFormatting sqref="O574">
    <cfRule type="expression" dxfId="255" priority="61">
      <formula>$V574=TRUE</formula>
    </cfRule>
    <cfRule type="expression" dxfId="254" priority="62">
      <formula>$V574=CONST_NA</formula>
    </cfRule>
  </conditionalFormatting>
  <conditionalFormatting sqref="O570">
    <cfRule type="expression" dxfId="253" priority="59">
      <formula>$V570=TRUE</formula>
    </cfRule>
    <cfRule type="expression" dxfId="252" priority="60">
      <formula>$V570=CONST_NA</formula>
    </cfRule>
  </conditionalFormatting>
  <conditionalFormatting sqref="O547">
    <cfRule type="expression" dxfId="251" priority="57">
      <formula>$V547=TRUE</formula>
    </cfRule>
    <cfRule type="expression" dxfId="250" priority="58">
      <formula>$V547=CONST_NA</formula>
    </cfRule>
  </conditionalFormatting>
  <conditionalFormatting sqref="E537:M543">
    <cfRule type="expression" dxfId="249" priority="77">
      <formula>$H537=CONST_NA</formula>
    </cfRule>
  </conditionalFormatting>
  <conditionalFormatting sqref="E592">
    <cfRule type="expression" dxfId="248" priority="56">
      <formula>$X592</formula>
    </cfRule>
  </conditionalFormatting>
  <conditionalFormatting sqref="O587">
    <cfRule type="expression" dxfId="247" priority="54">
      <formula>$V587=TRUE</formula>
    </cfRule>
    <cfRule type="expression" dxfId="246" priority="55">
      <formula>$V587=CONST_NA</formula>
    </cfRule>
  </conditionalFormatting>
  <conditionalFormatting sqref="O591">
    <cfRule type="expression" dxfId="245" priority="52">
      <formula>$V591=TRUE</formula>
    </cfRule>
    <cfRule type="expression" dxfId="244" priority="53">
      <formula>$V591=CONST_NA</formula>
    </cfRule>
  </conditionalFormatting>
  <conditionalFormatting sqref="O592">
    <cfRule type="expression" dxfId="243" priority="50">
      <formula>$V592=TRUE</formula>
    </cfRule>
    <cfRule type="expression" dxfId="242" priority="51">
      <formula>$V592=CONST_NA</formula>
    </cfRule>
  </conditionalFormatting>
  <conditionalFormatting sqref="D641:M657">
    <cfRule type="expression" dxfId="241" priority="47">
      <formula>$X641</formula>
    </cfRule>
  </conditionalFormatting>
  <conditionalFormatting sqref="D616:M626 M627">
    <cfRule type="expression" dxfId="240" priority="46">
      <formula>$X616</formula>
    </cfRule>
  </conditionalFormatting>
  <conditionalFormatting sqref="O601:O608 O617:O627">
    <cfRule type="expression" dxfId="239" priority="44">
      <formula>$V601=TRUE</formula>
    </cfRule>
    <cfRule type="expression" dxfId="238" priority="45">
      <formula>$V601=CONST_NA</formula>
    </cfRule>
  </conditionalFormatting>
  <conditionalFormatting sqref="O642">
    <cfRule type="expression" dxfId="237" priority="42">
      <formula>$V642=TRUE</formula>
    </cfRule>
    <cfRule type="expression" dxfId="236" priority="43">
      <formula>$V642=CONST_NA</formula>
    </cfRule>
  </conditionalFormatting>
  <conditionalFormatting sqref="O643">
    <cfRule type="expression" dxfId="235" priority="40">
      <formula>$V643=TRUE</formula>
    </cfRule>
    <cfRule type="expression" dxfId="234" priority="41">
      <formula>$V643=CONST_NA</formula>
    </cfRule>
  </conditionalFormatting>
  <conditionalFormatting sqref="O646">
    <cfRule type="expression" dxfId="233" priority="38">
      <formula>$V646=TRUE</formula>
    </cfRule>
    <cfRule type="expression" dxfId="232" priority="39">
      <formula>$V646=CONST_NA</formula>
    </cfRule>
  </conditionalFormatting>
  <conditionalFormatting sqref="O650">
    <cfRule type="expression" dxfId="231" priority="36">
      <formula>$V650=TRUE</formula>
    </cfRule>
    <cfRule type="expression" dxfId="230" priority="37">
      <formula>$V650=CONST_NA</formula>
    </cfRule>
  </conditionalFormatting>
  <conditionalFormatting sqref="O651">
    <cfRule type="expression" dxfId="229" priority="34">
      <formula>$V651=TRUE</formula>
    </cfRule>
    <cfRule type="expression" dxfId="228" priority="35">
      <formula>$V651=CONST_NA</formula>
    </cfRule>
  </conditionalFormatting>
  <conditionalFormatting sqref="O639">
    <cfRule type="expression" dxfId="227" priority="32">
      <formula>$V639=TRUE</formula>
    </cfRule>
    <cfRule type="expression" dxfId="226" priority="33">
      <formula>$V639=CONST_NA</formula>
    </cfRule>
  </conditionalFormatting>
  <conditionalFormatting sqref="O635">
    <cfRule type="expression" dxfId="225" priority="30">
      <formula>$V635=TRUE</formula>
    </cfRule>
    <cfRule type="expression" dxfId="224" priority="31">
      <formula>$V635=CONST_NA</formula>
    </cfRule>
  </conditionalFormatting>
  <conditionalFormatting sqref="O612">
    <cfRule type="expression" dxfId="223" priority="28">
      <formula>$V612=TRUE</formula>
    </cfRule>
    <cfRule type="expression" dxfId="222" priority="29">
      <formula>$V612=CONST_NA</formula>
    </cfRule>
  </conditionalFormatting>
  <conditionalFormatting sqref="E602:M608">
    <cfRule type="expression" dxfId="221" priority="48">
      <formula>$H602=CONST_NA</formula>
    </cfRule>
  </conditionalFormatting>
  <conditionalFormatting sqref="E657">
    <cfRule type="expression" dxfId="220" priority="27">
      <formula>$X657</formula>
    </cfRule>
  </conditionalFormatting>
  <conditionalFormatting sqref="O652">
    <cfRule type="expression" dxfId="219" priority="25">
      <formula>$V652=TRUE</formula>
    </cfRule>
    <cfRule type="expression" dxfId="218" priority="26">
      <formula>$V652=CONST_NA</formula>
    </cfRule>
  </conditionalFormatting>
  <conditionalFormatting sqref="O656">
    <cfRule type="expression" dxfId="217" priority="23">
      <formula>$V656=TRUE</formula>
    </cfRule>
    <cfRule type="expression" dxfId="216" priority="24">
      <formula>$V656=CONST_NA</formula>
    </cfRule>
  </conditionalFormatting>
  <conditionalFormatting sqref="O657">
    <cfRule type="expression" dxfId="215" priority="21">
      <formula>$V657=TRUE</formula>
    </cfRule>
    <cfRule type="expression" dxfId="214"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tabSelected="1" zoomScaleNormal="100" workbookViewId="0">
      <pane ySplit="5" topLeftCell="A454" activePane="bottomLeft" state="frozen"/>
      <selection pane="bottomLeft" activeCell="M2" sqref="M2:N2"/>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0</v>
      </c>
      <c r="P1" s="90"/>
      <c r="R1" s="89" t="s">
        <v>0</v>
      </c>
      <c r="S1" s="89" t="s">
        <v>0</v>
      </c>
      <c r="T1" s="89" t="s">
        <v>0</v>
      </c>
      <c r="U1" s="89" t="s">
        <v>0</v>
      </c>
      <c r="V1" s="89" t="s">
        <v>0</v>
      </c>
      <c r="W1" s="89" t="s">
        <v>0</v>
      </c>
      <c r="X1" s="89" t="s">
        <v>0</v>
      </c>
    </row>
    <row r="2" spans="1:24" ht="14.1" customHeight="1" thickBot="1" x14ac:dyDescent="0.3">
      <c r="B2" s="1073" t="str">
        <f>Translations!$B$124</f>
        <v>Purchased precursors</v>
      </c>
      <c r="C2" s="1074"/>
      <c r="D2" s="1075"/>
      <c r="E2" s="1199" t="str">
        <f>Translations!$B$11</f>
        <v>Navigation Area:</v>
      </c>
      <c r="F2" s="1083"/>
      <c r="G2" s="1084" t="str">
        <f ca="1">HYPERLINK("#"&amp;ADDRESS(2,3,,,a_Contents!$U$2),a_Contents!$B$2)</f>
        <v>Table of contents</v>
      </c>
      <c r="H2" s="1085"/>
      <c r="I2" s="1084" t="str">
        <f ca="1">HYPERLINK("#"&amp;ADDRESS(2,3,,,G_FurtherGuidance!$U$2),G_FurtherGuidance!$B$2)</f>
        <v>Further Guidance</v>
      </c>
      <c r="J2" s="1085"/>
      <c r="K2" s="1084" t="str">
        <f ca="1">HYPERLINK("#"&amp;ADDRESS(2,3,,,Summary_Processes!$Y$2),Summary_Processes!$Y$2)</f>
        <v>Summary_Processes</v>
      </c>
      <c r="L2" s="1085"/>
      <c r="M2" s="1084" t="str">
        <f ca="1">HYPERLINK("#"&amp;ADDRESS(2,3,,,Summary_Products!$BF$2),Summary_Products!$BF$2)</f>
        <v>Summary_Products</v>
      </c>
      <c r="N2" s="1085"/>
      <c r="R2" s="89" t="s">
        <v>1</v>
      </c>
      <c r="S2" s="93" t="str">
        <f>ADDRESS(ROW($B$9),COLUMN($B$9)) &amp; ":" &amp; ADDRESS(MATCH("PRINT",$P:$P,0),COLUMN($O$9))</f>
        <v>$B$9:$O$851</v>
      </c>
      <c r="T2" s="89" t="s">
        <v>2</v>
      </c>
      <c r="U2" s="102" t="str">
        <f ca="1">IF(ISERROR(CELL("filename",V2)),"MSParameters",MID(CELL("filename",V2),FIND("]",CELL("filename",V2))+1,1024))</f>
        <v>E_PurchPrec</v>
      </c>
    </row>
    <row r="3" spans="1:24" ht="14.1" customHeight="1" x14ac:dyDescent="0.25">
      <c r="B3" s="1076"/>
      <c r="C3" s="1077"/>
      <c r="D3" s="1078"/>
      <c r="E3" s="1197"/>
      <c r="F3" s="1198"/>
      <c r="G3" s="1198" t="str">
        <f>IF(INDEX(CNTR_List_ExistPurchPrecNames,R3)=CONST_NA,"",HYPERLINK("#"&amp;ADDRESS(ROW($C$11)+MATCH(R3,$C$11:$C$988,0)-1,COLUMN($C$11)),INDEX(CNTR_List_ExistPurchPrecNames,R3)))</f>
        <v/>
      </c>
      <c r="H3" s="1198"/>
      <c r="I3" s="1198" t="str">
        <f>IF(INDEX(CNTR_List_ExistPurchPrecNames,T3)=CONST_NA,"",HYPERLINK("#"&amp;ADDRESS(ROW($C$11)+MATCH(T3,$C$11:$C$988,0)-1,COLUMN($C$11)),INDEX(CNTR_List_ExistPurchPrecNames,T3)))</f>
        <v/>
      </c>
      <c r="J3" s="1198"/>
      <c r="K3" s="1198" t="str">
        <f>IF(INDEX(CNTR_List_ExistPurchPrecNames,V3)=CONST_NA,"",HYPERLINK("#"&amp;ADDRESS(ROW($C$11)+MATCH(V3,$C$11:$C$988,0)-1,COLUMN($C$11)),INDEX(CNTR_List_ExistPurchPrecNames,V3)))</f>
        <v/>
      </c>
      <c r="L3" s="1198"/>
      <c r="M3" s="1198" t="str">
        <f>IF(INDEX(CNTR_List_ExistPurchPrecNames,X3)=CONST_NA,"",HYPERLINK("#"&amp;ADDRESS(ROW($C$11)+MATCH(X3,$C$11:$C$988,0)-1,COLUMN($C$11)),INDEX(CNTR_List_ExistPurchPrecNames,X3)))</f>
        <v/>
      </c>
      <c r="N3" s="1198"/>
      <c r="R3" s="306">
        <v>1</v>
      </c>
      <c r="S3" s="307"/>
      <c r="T3" s="307">
        <v>2</v>
      </c>
      <c r="U3" s="307"/>
      <c r="V3" s="307">
        <v>3</v>
      </c>
      <c r="W3" s="307"/>
      <c r="X3" s="308">
        <v>4</v>
      </c>
    </row>
    <row r="4" spans="1:24" ht="14.1" customHeight="1" x14ac:dyDescent="0.25">
      <c r="B4" s="1076"/>
      <c r="C4" s="1077"/>
      <c r="D4" s="1078"/>
      <c r="E4" s="1200"/>
      <c r="F4" s="1068"/>
      <c r="G4" s="1068" t="str">
        <f>IF(INDEX(CNTR_List_ExistPurchPrecNames,R4)=CONST_NA,"",HYPERLINK("#"&amp;ADDRESS(ROW($C$11)+MATCH(R4,$C$11:$C$988,0)-1,COLUMN($C$11)),INDEX(CNTR_List_ExistPurchPrecNames,R4)))</f>
        <v/>
      </c>
      <c r="H4" s="1068"/>
      <c r="I4" s="1068" t="str">
        <f>IF(INDEX(CNTR_List_ExistPurchPrecNames,T4)=CONST_NA,"",HYPERLINK("#"&amp;ADDRESS(ROW($C$11)+MATCH(T4,$C$11:$C$988,0)-1,COLUMN($C$11)),INDEX(CNTR_List_ExistPurchPrecNames,T4)))</f>
        <v/>
      </c>
      <c r="J4" s="1068"/>
      <c r="K4" s="1068" t="str">
        <f>IF(INDEX(CNTR_List_ExistPurchPrecNames,V4)=CONST_NA,"",HYPERLINK("#"&amp;ADDRESS(ROW($C$11)+MATCH(V4,$C$11:$C$988,0)-1,COLUMN($C$11)),INDEX(CNTR_List_ExistPurchPrecNames,V4)))</f>
        <v/>
      </c>
      <c r="L4" s="1068"/>
      <c r="M4" s="1068" t="str">
        <f>IF(INDEX(CNTR_List_ExistPurchPrecNames,X4)=CONST_NA,"",HYPERLINK("#"&amp;ADDRESS(ROW($C$11)+MATCH(X4,$C$11:$C$988,0)-1,COLUMN($C$11)),INDEX(CNTR_List_ExistPurchPrecNames,X4)))</f>
        <v/>
      </c>
      <c r="N4" s="1068"/>
      <c r="R4" s="309">
        <v>5</v>
      </c>
      <c r="S4" s="126"/>
      <c r="T4" s="126">
        <v>6</v>
      </c>
      <c r="U4" s="126"/>
      <c r="V4" s="126">
        <v>7</v>
      </c>
      <c r="W4" s="126"/>
      <c r="X4" s="310">
        <v>8</v>
      </c>
    </row>
    <row r="5" spans="1:24" ht="14.1" customHeight="1" thickBot="1" x14ac:dyDescent="0.3">
      <c r="B5" s="1079"/>
      <c r="C5" s="1080"/>
      <c r="D5" s="1081"/>
      <c r="E5" s="1204"/>
      <c r="F5" s="1205"/>
      <c r="G5" s="1068" t="str">
        <f>IF(INDEX(CNTR_List_ExistPurchPrecNames,R5)=CONST_NA,"",HYPERLINK("#"&amp;ADDRESS(ROW($C$11)+MATCH(R5,$C$11:$C$988,0)-1,COLUMN($C$11)),INDEX(CNTR_List_ExistPurchPrecNames,R5)))</f>
        <v/>
      </c>
      <c r="H5" s="1068"/>
      <c r="I5" s="1068" t="str">
        <f>IF(INDEX(CNTR_List_ExistPurchPrecNames,T5)=CONST_NA,"",HYPERLINK("#"&amp;ADDRESS(ROW($C$11)+MATCH(T5,$C$11:$C$988,0)-1,COLUMN($C$11)),INDEX(CNTR_List_ExistPurchPrecNames,T5)))</f>
        <v/>
      </c>
      <c r="J5" s="1068"/>
      <c r="K5" s="1068" t="str">
        <f>IF(INDEX(CNTR_List_ExistPurchPrecNames,V5)=CONST_NA,"",HYPERLINK("#"&amp;ADDRESS(ROW($C$11)+MATCH(V5,$C$11:$C$988,0)-1,COLUMN($C$11)),INDEX(CNTR_List_ExistPurchPrecNames,V5)))</f>
        <v/>
      </c>
      <c r="L5" s="1068"/>
      <c r="M5" s="1068" t="str">
        <f>IF(INDEX(CNTR_List_ExistPurchPrecNames,X5)=CONST_NA,"",HYPERLINK("#"&amp;ADDRESS(ROW($C$11)+MATCH(X5,$C$11:$C$988,0)-1,COLUMN($C$11)),INDEX(CNTR_List_ExistPurchPrecNames,X5)))</f>
        <v/>
      </c>
      <c r="N5" s="1068"/>
      <c r="R5" s="311">
        <v>9</v>
      </c>
      <c r="S5" s="312"/>
      <c r="T5" s="312">
        <v>10</v>
      </c>
      <c r="U5" s="312"/>
      <c r="V5" s="312">
        <v>11</v>
      </c>
      <c r="W5" s="312"/>
      <c r="X5" s="313">
        <v>12</v>
      </c>
    </row>
    <row r="6" spans="1:24" ht="5.0999999999999996" customHeight="1" x14ac:dyDescent="0.25"/>
    <row r="7" spans="1:24" ht="25.5" customHeight="1" x14ac:dyDescent="0.25">
      <c r="C7" s="106" t="s">
        <v>16</v>
      </c>
      <c r="E7" s="106" t="str">
        <f>Translations!$B$275</f>
        <v>Sheet "E_PurchPrec" - Purchased precursors for SEE calculation</v>
      </c>
      <c r="R7" s="105" t="s">
        <v>19</v>
      </c>
      <c r="S7" s="105" t="s">
        <v>20</v>
      </c>
      <c r="T7" s="126"/>
      <c r="U7" s="126"/>
      <c r="V7" s="105" t="str">
        <f>Translations!$B$66</f>
        <v>Errors</v>
      </c>
      <c r="W7" s="126"/>
      <c r="X7" s="105" t="s">
        <v>21</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CONST_PurchPrecursor &amp; " " &amp; C11 &amp; ":"</f>
        <v>Purchased precursor 1:</v>
      </c>
      <c r="G11" s="1191" t="str">
        <f>IF(INDEX(CNTR_List_ExistPurchPrecNames,MATCH(R11,CNTR_ListPurchPrecID,0))=CONST_NA,"",INDEX(CNTR_List_ExistPurchPrecNames,MATCH(R11,CNTR_ListPurchPrecID,0)))</f>
        <v/>
      </c>
      <c r="H11" s="1192"/>
      <c r="I11" s="1192"/>
      <c r="J11" s="1192"/>
      <c r="K11" s="1193"/>
      <c r="L11" s="1194" t="str">
        <f>IF(INDEX(CNTR_List_ExistPurchPrec,MATCH(R11,CNTR_ListPurchPrecID,0))=CONST_NA,"",INDEX(CNTR_List_ExistPurchPrec,MATCH(R11,CNTR_ListPurchPrecID,0)))</f>
        <v/>
      </c>
      <c r="M11" s="1195"/>
      <c r="N11" s="1196"/>
      <c r="R11" s="154" t="str">
        <f>INDEX(CNTR_ListPurchPrecID,C11)</f>
        <v>PP1</v>
      </c>
      <c r="W11" s="104" t="s">
        <v>1330</v>
      </c>
      <c r="X11" s="155" t="b">
        <f>AND(CNTR_HasEntriesA,G11="")</f>
        <v>0</v>
      </c>
    </row>
    <row r="12" spans="1:24" ht="12.75" customHeight="1" x14ac:dyDescent="0.25">
      <c r="D12" s="103"/>
      <c r="E12" s="98"/>
      <c r="W12" s="104"/>
    </row>
    <row r="13" spans="1:24" ht="12.75" customHeight="1" x14ac:dyDescent="0.25">
      <c r="D13" s="120" t="s">
        <v>1331</v>
      </c>
      <c r="E13" s="98" t="str">
        <f>Translations!$B$276</f>
        <v>Total purchased levels:</v>
      </c>
      <c r="H13" s="156" t="str">
        <f>Translations!$B$244</f>
        <v>Production route</v>
      </c>
      <c r="K13" s="157" t="str">
        <f>Translations!$B$221</f>
        <v>Unit</v>
      </c>
      <c r="L13" s="157" t="str">
        <f>Translations!$B$245</f>
        <v>Amounts</v>
      </c>
    </row>
    <row r="14" spans="1:24" ht="12.75" customHeight="1" x14ac:dyDescent="0.25">
      <c r="D14" s="174">
        <v>1</v>
      </c>
      <c r="E14" s="158" t="str">
        <f>IF(G11="","",G11) &amp; IF(L11="",""," | " &amp; L11)</f>
        <v/>
      </c>
      <c r="F14" s="158"/>
      <c r="G14" s="158"/>
      <c r="H14" s="159" t="str">
        <f>IF(L11="","",INDEX(CONST_MATRIX_ProductionRoute,MATCH(L11,CONST_LIST_Goods,0),D14))</f>
        <v/>
      </c>
      <c r="I14" s="158"/>
      <c r="J14" s="158"/>
      <c r="K14" s="160" t="str">
        <f>IF(L11="","",INDEX(CONST_LIST_GoodsUnit,MATCH(L11,CONST_LIST_Goods,0)))</f>
        <v/>
      </c>
      <c r="L14" s="33"/>
      <c r="S14" s="105">
        <v>1</v>
      </c>
      <c r="T14" s="126"/>
    </row>
    <row r="15" spans="1:24" ht="12.75" customHeight="1" x14ac:dyDescent="0.25">
      <c r="D15" s="174">
        <v>2</v>
      </c>
      <c r="E15" s="163" t="str">
        <f t="shared" ref="E15:E21" si="0">IF(H15=CONST_NA,"",E14)</f>
        <v/>
      </c>
      <c r="F15" s="163"/>
      <c r="G15" s="163"/>
      <c r="H15" s="164" t="str">
        <f>IF(L11="","",INDEX(CONST_MATRIX_ProductionRoute,MATCH(L11,CONST_LIST_Goods,0),D15))</f>
        <v/>
      </c>
      <c r="I15" s="163"/>
      <c r="J15" s="163"/>
      <c r="K15" s="165" t="str">
        <f t="shared" ref="K15:K21" si="1">IF(H15=CONST_NA,"",K14)</f>
        <v/>
      </c>
      <c r="L15" s="34"/>
      <c r="S15" s="105">
        <v>2</v>
      </c>
      <c r="T15" s="126"/>
    </row>
    <row r="16" spans="1:24" ht="12.75" customHeight="1" x14ac:dyDescent="0.25">
      <c r="D16" s="174">
        <v>3</v>
      </c>
      <c r="E16" s="163" t="str">
        <f t="shared" si="0"/>
        <v/>
      </c>
      <c r="F16" s="163"/>
      <c r="G16" s="163"/>
      <c r="H16" s="164" t="str">
        <f>IF(L11="","",INDEX(CONST_MATRIX_ProductionRoute,MATCH(L11,CONST_LIST_Goods,0),D16))</f>
        <v/>
      </c>
      <c r="I16" s="163"/>
      <c r="J16" s="163"/>
      <c r="K16" s="165" t="str">
        <f t="shared" si="1"/>
        <v/>
      </c>
      <c r="L16" s="34"/>
      <c r="S16" s="105">
        <v>3</v>
      </c>
      <c r="T16" s="126"/>
    </row>
    <row r="17" spans="4:24" ht="12.75" customHeight="1" x14ac:dyDescent="0.25">
      <c r="D17" s="174">
        <v>4</v>
      </c>
      <c r="E17" s="163" t="str">
        <f t="shared" si="0"/>
        <v/>
      </c>
      <c r="F17" s="163"/>
      <c r="G17" s="163"/>
      <c r="H17" s="164" t="str">
        <f>IF(L11="","",INDEX(CONST_MATRIX_ProductionRoute,MATCH(L11,CONST_LIST_Goods,0),D17))</f>
        <v/>
      </c>
      <c r="I17" s="163"/>
      <c r="J17" s="163"/>
      <c r="K17" s="165" t="str">
        <f t="shared" si="1"/>
        <v/>
      </c>
      <c r="L17" s="34"/>
      <c r="S17" s="105">
        <v>4</v>
      </c>
      <c r="T17" s="126"/>
    </row>
    <row r="18" spans="4:24" ht="12.75" customHeight="1" x14ac:dyDescent="0.25">
      <c r="D18" s="174">
        <v>5</v>
      </c>
      <c r="E18" s="163" t="str">
        <f t="shared" si="0"/>
        <v/>
      </c>
      <c r="F18" s="163"/>
      <c r="G18" s="163"/>
      <c r="H18" s="164" t="str">
        <f>IF(L11="","",INDEX(CONST_MATRIX_ProductionRoute,MATCH(L11,CONST_LIST_Goods,0),D18))</f>
        <v/>
      </c>
      <c r="I18" s="163"/>
      <c r="J18" s="163"/>
      <c r="K18" s="165" t="str">
        <f t="shared" si="1"/>
        <v/>
      </c>
      <c r="L18" s="34"/>
      <c r="S18" s="105">
        <v>5</v>
      </c>
      <c r="T18" s="126"/>
    </row>
    <row r="19" spans="4:24" ht="12.75" customHeight="1" x14ac:dyDescent="0.25">
      <c r="D19" s="174">
        <v>6</v>
      </c>
      <c r="E19" s="163" t="str">
        <f t="shared" si="0"/>
        <v/>
      </c>
      <c r="F19" s="163"/>
      <c r="G19" s="163"/>
      <c r="H19" s="164" t="str">
        <f>IF(L11="","",INDEX(CONST_MATRIX_ProductionRoute,MATCH(L11,CONST_LIST_Goods,0),D19))</f>
        <v/>
      </c>
      <c r="I19" s="163"/>
      <c r="J19" s="163"/>
      <c r="K19" s="165" t="str">
        <f t="shared" si="1"/>
        <v/>
      </c>
      <c r="L19" s="34"/>
      <c r="S19" s="105">
        <v>6</v>
      </c>
      <c r="T19" s="126"/>
    </row>
    <row r="20" spans="4:24" ht="12.75" customHeight="1" x14ac:dyDescent="0.25">
      <c r="D20" s="174">
        <v>7</v>
      </c>
      <c r="E20" s="163" t="str">
        <f t="shared" si="0"/>
        <v/>
      </c>
      <c r="F20" s="163"/>
      <c r="G20" s="163"/>
      <c r="H20" s="164" t="str">
        <f>IF(L11="","",INDEX(CONST_MATRIX_ProductionRoute,MATCH(L11,CONST_LIST_Goods,0),D20))</f>
        <v/>
      </c>
      <c r="I20" s="163"/>
      <c r="J20" s="163"/>
      <c r="K20" s="165" t="str">
        <f t="shared" si="1"/>
        <v/>
      </c>
      <c r="L20" s="34"/>
      <c r="S20" s="105">
        <v>7</v>
      </c>
      <c r="T20" s="126"/>
    </row>
    <row r="21" spans="4:24" ht="12.75" customHeight="1" x14ac:dyDescent="0.25">
      <c r="D21" s="174">
        <v>8</v>
      </c>
      <c r="E21" s="166" t="str">
        <f t="shared" si="0"/>
        <v/>
      </c>
      <c r="F21" s="166"/>
      <c r="G21" s="166"/>
      <c r="H21" s="167" t="str">
        <f>IF(L11="","",INDEX(CONST_MATRIX_ProductionRoute,MATCH(L11,CONST_LIST_Goods,0),D21))</f>
        <v/>
      </c>
      <c r="I21" s="166"/>
      <c r="J21" s="166"/>
      <c r="K21" s="168" t="str">
        <f t="shared" si="1"/>
        <v/>
      </c>
      <c r="L21" s="35"/>
      <c r="S21" s="105">
        <v>8</v>
      </c>
      <c r="T21" s="126"/>
    </row>
    <row r="22" spans="4:24" ht="12.75" customHeight="1" x14ac:dyDescent="0.25">
      <c r="D22" s="103"/>
      <c r="E22" s="143" t="str">
        <f>Translations!$B$277</f>
        <v>Total consumption within installation:</v>
      </c>
      <c r="F22" s="143"/>
      <c r="G22" s="143"/>
      <c r="H22" s="169"/>
      <c r="I22" s="143"/>
      <c r="J22" s="143"/>
      <c r="K22" s="171" t="str">
        <f>K14</f>
        <v/>
      </c>
      <c r="L22" s="394" t="str">
        <f>IF(G11="","",SUM(L14:L21))</f>
        <v/>
      </c>
      <c r="R22" s="102" t="str">
        <f>CONST_CNTR_TotProd&amp;G11</f>
        <v>TotProd_</v>
      </c>
      <c r="T22" s="218" t="str">
        <f>IF(G11="","",IF(SUM(L22)=0,100,L22))</f>
        <v/>
      </c>
    </row>
    <row r="23" spans="4:24" ht="5.0999999999999996" customHeight="1" x14ac:dyDescent="0.25">
      <c r="D23" s="137"/>
      <c r="E23" s="98"/>
      <c r="T23" s="128"/>
    </row>
    <row r="24" spans="4:24" ht="12.75" customHeight="1" x14ac:dyDescent="0.25">
      <c r="D24" s="120" t="s">
        <v>1253</v>
      </c>
      <c r="E24" s="98" t="str">
        <f>Translations!$B$278</f>
        <v>Consumed in "production processes" within the installation:</v>
      </c>
      <c r="F24" s="98"/>
      <c r="G24" s="98"/>
      <c r="H24" s="98"/>
      <c r="I24" s="98"/>
      <c r="J24" s="98"/>
      <c r="K24" s="120" t="str">
        <f>Translations!$B$221</f>
        <v>Unit</v>
      </c>
      <c r="L24" s="120" t="str">
        <f>Translations!$B$245</f>
        <v>Amounts</v>
      </c>
      <c r="S24" s="126" t="s">
        <v>1332</v>
      </c>
      <c r="T24" s="128"/>
    </row>
    <row r="25" spans="4:24" ht="12.75" customHeight="1" x14ac:dyDescent="0.25">
      <c r="D25" s="174">
        <v>1</v>
      </c>
      <c r="E25" s="175" t="str">
        <f t="shared" ref="E25:E34" si="2">IF(INDEX(CNTR_List_ExistProdProcNames,S25)=CONST_NA,"",INDEX(CNTR_List_ExistProdProcNames,S25))</f>
        <v/>
      </c>
      <c r="F25" s="176"/>
      <c r="G25" s="176"/>
      <c r="H25" s="176"/>
      <c r="I25" s="176"/>
      <c r="J25" s="177"/>
      <c r="K25" s="160" t="str">
        <f>IF(E25="","",K22)</f>
        <v/>
      </c>
      <c r="L25" s="28"/>
      <c r="O25" s="161"/>
      <c r="R25" s="102" t="str">
        <f>CONST_PrecursorToGoodInput&amp;G11 &amp;"_"&amp;E25</f>
        <v>PrecToGood__</v>
      </c>
      <c r="S25" s="105">
        <f>D25</f>
        <v>1</v>
      </c>
      <c r="T25" s="127" t="str">
        <f>IF(G11="","",L25)</f>
        <v/>
      </c>
      <c r="V25" s="162" t="str">
        <f>IF(AND(G11&lt;&gt;"",E25&lt;&gt;"",L25&lt;&gt;""),TRUE,IF(AND(G11&lt;&gt;"",E25&lt;&gt;"",L25="",X25=FALSE),CONST_ErrorOrMissing&amp;C11,CONST_NA))</f>
        <v>n.a.</v>
      </c>
      <c r="W25" s="89" t="s">
        <v>1333</v>
      </c>
      <c r="X25" s="102" t="b">
        <f>IF(G11="",FALSE,E25="")</f>
        <v>0</v>
      </c>
    </row>
    <row r="26" spans="4:24" ht="12.75" customHeight="1" x14ac:dyDescent="0.25">
      <c r="D26" s="174">
        <v>2</v>
      </c>
      <c r="E26" s="178" t="str">
        <f t="shared" si="2"/>
        <v/>
      </c>
      <c r="F26" s="179"/>
      <c r="G26" s="179"/>
      <c r="H26" s="179"/>
      <c r="I26" s="179"/>
      <c r="J26" s="180"/>
      <c r="K26" s="165" t="str">
        <f>IF(E26="","",K25)</f>
        <v/>
      </c>
      <c r="L26" s="29"/>
      <c r="O26" s="161"/>
      <c r="R26" s="102" t="str">
        <f>CONST_PrecursorToGoodInput&amp;G11 &amp;"_"&amp;E26</f>
        <v>PrecToGood__</v>
      </c>
      <c r="S26" s="105">
        <f t="shared" ref="S26:S34" si="3">D26</f>
        <v>2</v>
      </c>
      <c r="T26" s="127" t="str">
        <f>IF(G11="","",L26)</f>
        <v/>
      </c>
      <c r="V26" s="162" t="str">
        <f>IF(AND(G11&lt;&gt;"",E26&lt;&gt;"",L26&lt;&gt;""),TRUE,IF(AND(G11&lt;&gt;"",E26&lt;&gt;"",L26="",X26=FALSE),CONST_ErrorOrMissing&amp;C11,CONST_NA))</f>
        <v>n.a.</v>
      </c>
      <c r="X26" s="102" t="b">
        <f>IF(G11="",FALSE,E26="")</f>
        <v>0</v>
      </c>
    </row>
    <row r="27" spans="4:24" ht="12.75" customHeight="1" x14ac:dyDescent="0.25">
      <c r="D27" s="174">
        <v>3</v>
      </c>
      <c r="E27" s="178" t="str">
        <f t="shared" si="2"/>
        <v/>
      </c>
      <c r="F27" s="179"/>
      <c r="G27" s="179"/>
      <c r="H27" s="179"/>
      <c r="I27" s="179"/>
      <c r="J27" s="180"/>
      <c r="K27" s="165" t="str">
        <f t="shared" ref="K27:K34" si="4">IF(E27="","",K26)</f>
        <v/>
      </c>
      <c r="L27" s="29"/>
      <c r="O27" s="161"/>
      <c r="R27" s="102" t="str">
        <f>CONST_PrecursorToGoodInput&amp;G11 &amp;"_"&amp;E27</f>
        <v>PrecToGood__</v>
      </c>
      <c r="S27" s="105">
        <f t="shared" si="3"/>
        <v>3</v>
      </c>
      <c r="T27" s="127" t="str">
        <f>IF(G11="","",L27)</f>
        <v/>
      </c>
      <c r="V27" s="162" t="str">
        <f>IF(AND(G11&lt;&gt;"",E27&lt;&gt;"",L27&lt;&gt;""),TRUE,IF(AND(G11&lt;&gt;"",E27&lt;&gt;"",L27="",X27=FALSE),CONST_ErrorOrMissing&amp;C11,CONST_NA))</f>
        <v>n.a.</v>
      </c>
      <c r="X27" s="102" t="b">
        <f>IF(G11="",FALSE,E27="")</f>
        <v>0</v>
      </c>
    </row>
    <row r="28" spans="4:24" ht="12.75" customHeight="1" x14ac:dyDescent="0.25">
      <c r="D28" s="174">
        <v>4</v>
      </c>
      <c r="E28" s="178" t="str">
        <f t="shared" si="2"/>
        <v/>
      </c>
      <c r="F28" s="179"/>
      <c r="G28" s="179"/>
      <c r="H28" s="179"/>
      <c r="I28" s="179"/>
      <c r="J28" s="180"/>
      <c r="K28" s="165" t="str">
        <f t="shared" si="4"/>
        <v/>
      </c>
      <c r="L28" s="29"/>
      <c r="O28" s="161"/>
      <c r="R28" s="102" t="str">
        <f>CONST_PrecursorToGoodInput&amp;G11 &amp;"_"&amp;E28</f>
        <v>PrecToGood__</v>
      </c>
      <c r="S28" s="105">
        <f t="shared" si="3"/>
        <v>4</v>
      </c>
      <c r="T28" s="127" t="str">
        <f>IF(G11="","",L28)</f>
        <v/>
      </c>
      <c r="V28" s="162" t="str">
        <f>IF(AND(G11&lt;&gt;"",E28&lt;&gt;"",L28&lt;&gt;""),TRUE,IF(AND(G11&lt;&gt;"",E28&lt;&gt;"",L28="",X28=FALSE),CONST_ErrorOrMissing&amp;C11,CONST_NA))</f>
        <v>n.a.</v>
      </c>
      <c r="X28" s="102" t="b">
        <f>IF(G11="",FALSE,E28="")</f>
        <v>0</v>
      </c>
    </row>
    <row r="29" spans="4:24" ht="12.75" customHeight="1" x14ac:dyDescent="0.25">
      <c r="D29" s="174">
        <v>5</v>
      </c>
      <c r="E29" s="181" t="str">
        <f t="shared" si="2"/>
        <v/>
      </c>
      <c r="F29" s="182"/>
      <c r="G29" s="182"/>
      <c r="H29" s="182"/>
      <c r="I29" s="182"/>
      <c r="J29" s="183"/>
      <c r="K29" s="184" t="str">
        <f t="shared" si="4"/>
        <v/>
      </c>
      <c r="L29" s="214"/>
      <c r="O29" s="161"/>
      <c r="R29" s="102" t="str">
        <f>CONST_PrecursorToGoodInput&amp;G11 &amp;"_"&amp;E29</f>
        <v>PrecToGood__</v>
      </c>
      <c r="S29" s="105">
        <f t="shared" si="3"/>
        <v>5</v>
      </c>
      <c r="T29" s="127" t="str">
        <f>IF(G11="","",L29)</f>
        <v/>
      </c>
      <c r="V29" s="162" t="str">
        <f>IF(AND(G11&lt;&gt;"",E29&lt;&gt;"",L29&lt;&gt;""),TRUE,IF(AND(G11&lt;&gt;"",E29&lt;&gt;"",L29="",X29=FALSE),CONST_ErrorOrMissing&amp;C11,CONST_NA))</f>
        <v>n.a.</v>
      </c>
      <c r="X29" s="102" t="b">
        <f>IF(G11="",FALSE,E29="")</f>
        <v>0</v>
      </c>
    </row>
    <row r="30" spans="4:24" ht="12.75" customHeight="1" x14ac:dyDescent="0.25">
      <c r="D30" s="174">
        <v>6</v>
      </c>
      <c r="E30" s="181" t="str">
        <f t="shared" si="2"/>
        <v/>
      </c>
      <c r="F30" s="182"/>
      <c r="G30" s="182"/>
      <c r="H30" s="182"/>
      <c r="I30" s="182"/>
      <c r="J30" s="183"/>
      <c r="K30" s="184" t="str">
        <f t="shared" si="4"/>
        <v/>
      </c>
      <c r="L30" s="214"/>
      <c r="O30" s="161"/>
      <c r="R30" s="102" t="str">
        <f>CONST_PrecursorToGoodInput&amp;G11 &amp;"_"&amp;E30</f>
        <v>PrecToGood__</v>
      </c>
      <c r="S30" s="105">
        <f t="shared" si="3"/>
        <v>6</v>
      </c>
      <c r="T30" s="127" t="str">
        <f>IF(G11="","",L30)</f>
        <v/>
      </c>
      <c r="V30" s="162" t="str">
        <f>IF(AND(G11&lt;&gt;"",E30&lt;&gt;"",L30&lt;&gt;""),TRUE,IF(AND(G11&lt;&gt;"",E30&lt;&gt;"",L30="",X30=FALSE),CONST_ErrorOrMissing&amp;C11,CONST_NA))</f>
        <v>n.a.</v>
      </c>
      <c r="X30" s="102" t="b">
        <f>IF(G11="",FALSE,E30="")</f>
        <v>0</v>
      </c>
    </row>
    <row r="31" spans="4:24" ht="12.75" customHeight="1" x14ac:dyDescent="0.25">
      <c r="D31" s="174">
        <v>7</v>
      </c>
      <c r="E31" s="181" t="str">
        <f t="shared" si="2"/>
        <v/>
      </c>
      <c r="F31" s="182"/>
      <c r="G31" s="182"/>
      <c r="H31" s="182"/>
      <c r="I31" s="182"/>
      <c r="J31" s="183"/>
      <c r="K31" s="184" t="str">
        <f t="shared" si="4"/>
        <v/>
      </c>
      <c r="L31" s="214"/>
      <c r="O31" s="161"/>
      <c r="R31" s="102" t="str">
        <f>CONST_PrecursorToGoodInput&amp;G11 &amp;"_"&amp;E31</f>
        <v>PrecToGood__</v>
      </c>
      <c r="S31" s="105">
        <f t="shared" si="3"/>
        <v>7</v>
      </c>
      <c r="T31" s="127" t="str">
        <f>IF(G11="","",L31)</f>
        <v/>
      </c>
      <c r="V31" s="162" t="str">
        <f>IF(AND(G11&lt;&gt;"",E31&lt;&gt;"",L31&lt;&gt;""),TRUE,IF(AND(G11&lt;&gt;"",E31&lt;&gt;"",L31="",X31=FALSE),CONST_ErrorOrMissing&amp;C11,CONST_NA))</f>
        <v>n.a.</v>
      </c>
      <c r="X31" s="102" t="b">
        <f>IF(G11="",FALSE,E31="")</f>
        <v>0</v>
      </c>
    </row>
    <row r="32" spans="4:24" ht="12.75" customHeight="1" x14ac:dyDescent="0.25">
      <c r="D32" s="174">
        <v>8</v>
      </c>
      <c r="E32" s="181" t="str">
        <f t="shared" si="2"/>
        <v/>
      </c>
      <c r="F32" s="182"/>
      <c r="G32" s="182"/>
      <c r="H32" s="182"/>
      <c r="I32" s="182"/>
      <c r="J32" s="183"/>
      <c r="K32" s="184" t="str">
        <f t="shared" si="4"/>
        <v/>
      </c>
      <c r="L32" s="214"/>
      <c r="O32" s="161"/>
      <c r="R32" s="102" t="str">
        <f>CONST_PrecursorToGoodInput&amp;G11 &amp;"_"&amp;E32</f>
        <v>PrecToGood__</v>
      </c>
      <c r="S32" s="105">
        <f t="shared" si="3"/>
        <v>8</v>
      </c>
      <c r="T32" s="127" t="str">
        <f>IF(G11="","",L32)</f>
        <v/>
      </c>
      <c r="V32" s="162" t="str">
        <f>IF(AND(G11&lt;&gt;"",E32&lt;&gt;"",L32&lt;&gt;""),TRUE,IF(AND(G11&lt;&gt;"",E32&lt;&gt;"",L32="",X32=FALSE),CONST_ErrorOrMissing&amp;C11,CONST_NA))</f>
        <v>n.a.</v>
      </c>
      <c r="X32" s="102" t="b">
        <f>IF(G11="",FALSE,E32="")</f>
        <v>0</v>
      </c>
    </row>
    <row r="33" spans="3:24" ht="12.75" customHeight="1" x14ac:dyDescent="0.25">
      <c r="D33" s="174">
        <v>9</v>
      </c>
      <c r="E33" s="181" t="str">
        <f t="shared" si="2"/>
        <v/>
      </c>
      <c r="F33" s="182"/>
      <c r="G33" s="182"/>
      <c r="H33" s="182"/>
      <c r="I33" s="182"/>
      <c r="J33" s="183"/>
      <c r="K33" s="184" t="str">
        <f t="shared" si="4"/>
        <v/>
      </c>
      <c r="L33" s="214"/>
      <c r="O33" s="161"/>
      <c r="R33" s="102" t="str">
        <f>CONST_PrecursorToGoodInput&amp;G11 &amp;"_"&amp;E33</f>
        <v>PrecToGood__</v>
      </c>
      <c r="S33" s="105">
        <f t="shared" si="3"/>
        <v>9</v>
      </c>
      <c r="T33" s="127" t="str">
        <f>IF(G11="","",L33)</f>
        <v/>
      </c>
      <c r="V33" s="162" t="str">
        <f>IF(AND(G11&lt;&gt;"",E33&lt;&gt;"",L33&lt;&gt;""),TRUE,IF(AND(G11&lt;&gt;"",E33&lt;&gt;"",L33="",X33=FALSE),CONST_ErrorOrMissing&amp;C11,CONST_NA))</f>
        <v>n.a.</v>
      </c>
      <c r="X33" s="102" t="b">
        <f>IF(G11="",FALSE,E33="")</f>
        <v>0</v>
      </c>
    </row>
    <row r="34" spans="3:24" ht="12.75" customHeight="1" x14ac:dyDescent="0.25">
      <c r="D34" s="174">
        <v>10</v>
      </c>
      <c r="E34" s="185" t="str">
        <f t="shared" si="2"/>
        <v/>
      </c>
      <c r="F34" s="186"/>
      <c r="G34" s="186"/>
      <c r="H34" s="186"/>
      <c r="I34" s="186"/>
      <c r="J34" s="187"/>
      <c r="K34" s="168" t="str">
        <f t="shared" si="4"/>
        <v/>
      </c>
      <c r="L34" s="30"/>
      <c r="O34" s="161"/>
      <c r="R34" s="102" t="str">
        <f>CONST_PrecursorToGoodInput&amp;G11 &amp;"_"&amp;E34</f>
        <v>PrecToGood__</v>
      </c>
      <c r="S34" s="105">
        <f t="shared" si="3"/>
        <v>10</v>
      </c>
      <c r="T34" s="127" t="str">
        <f>IF(G11="","",L34)</f>
        <v/>
      </c>
      <c r="V34" s="162" t="str">
        <f>IF(AND(G11&lt;&gt;"",E34&lt;&gt;"",L34&lt;&gt;""),TRUE,IF(AND(G11&lt;&gt;"",E34&lt;&gt;"",L34="",X34=FALSE),CONST_ErrorOrMissing&amp;C11,CONST_NA))</f>
        <v>n.a.</v>
      </c>
      <c r="X34" s="102" t="b">
        <f>IF(G11="",FALSE,E34="")</f>
        <v>0</v>
      </c>
    </row>
    <row r="35" spans="3:24" ht="12.75" customHeight="1" x14ac:dyDescent="0.25">
      <c r="D35" s="120" t="s">
        <v>1254</v>
      </c>
      <c r="E35" s="98" t="str">
        <f>Translations!$B$252</f>
        <v>Consumed for non-CBAM goods within the installation:</v>
      </c>
      <c r="F35" s="98"/>
      <c r="G35" s="98"/>
      <c r="H35" s="98"/>
      <c r="I35" s="98"/>
      <c r="J35" s="98"/>
      <c r="K35" s="171" t="str">
        <f>K22</f>
        <v/>
      </c>
      <c r="L35" s="220"/>
      <c r="T35" s="128"/>
    </row>
    <row r="36" spans="3:24" ht="12.75" customHeight="1" x14ac:dyDescent="0.25">
      <c r="D36" s="120" t="s">
        <v>1334</v>
      </c>
      <c r="E36" s="143" t="str">
        <f>Translations!$B$253</f>
        <v>Control:</v>
      </c>
      <c r="F36" s="172"/>
      <c r="G36" s="172"/>
      <c r="H36" s="172"/>
      <c r="I36" s="172"/>
      <c r="J36" s="172"/>
      <c r="K36" s="171" t="str">
        <f>K35</f>
        <v/>
      </c>
      <c r="L36" s="121" t="str">
        <f>IF(G11="","",SUM(L22)-SUM(L25:L35))</f>
        <v/>
      </c>
      <c r="T36" s="128"/>
    </row>
    <row r="37" spans="3:24" ht="12.75" customHeight="1" thickBot="1" x14ac:dyDescent="0.3">
      <c r="T37" s="128"/>
    </row>
    <row r="38" spans="3:24" ht="12.75" customHeight="1" x14ac:dyDescent="0.25">
      <c r="C38" s="188"/>
      <c r="D38" s="189"/>
      <c r="E38" s="190"/>
      <c r="F38" s="191"/>
      <c r="G38" s="191"/>
      <c r="H38" s="191"/>
      <c r="I38" s="191"/>
      <c r="J38" s="191"/>
      <c r="K38" s="191"/>
      <c r="L38" s="191"/>
      <c r="M38" s="191"/>
      <c r="N38" s="192"/>
      <c r="T38" s="128"/>
    </row>
    <row r="39" spans="3:24" ht="15" customHeight="1" x14ac:dyDescent="0.25">
      <c r="C39" s="193"/>
      <c r="D39" s="194" t="str">
        <f>Translations!$B$279</f>
        <v>Specific embedded emissions:</v>
      </c>
      <c r="E39" s="195"/>
      <c r="F39" s="196"/>
      <c r="G39" s="196"/>
      <c r="H39" s="196"/>
      <c r="I39" s="196"/>
      <c r="J39" s="1201" t="str">
        <f>IF(G11="","",G11)</f>
        <v/>
      </c>
      <c r="K39" s="1201"/>
      <c r="L39" s="1201"/>
      <c r="M39" s="1201"/>
      <c r="N39" s="197"/>
      <c r="T39" s="128"/>
    </row>
    <row r="40" spans="3:24" ht="5.0999999999999996" customHeight="1" x14ac:dyDescent="0.25">
      <c r="C40" s="193"/>
      <c r="D40" s="198"/>
      <c r="E40" s="199"/>
      <c r="F40" s="196"/>
      <c r="G40" s="196"/>
      <c r="H40" s="196"/>
      <c r="I40" s="196"/>
      <c r="J40" s="196"/>
      <c r="K40" s="196"/>
      <c r="L40" s="196"/>
      <c r="M40" s="196"/>
      <c r="N40" s="197"/>
      <c r="T40" s="128"/>
    </row>
    <row r="41" spans="3:24" ht="12.75" customHeight="1" x14ac:dyDescent="0.25">
      <c r="C41" s="193"/>
      <c r="D41" s="200" t="s">
        <v>1335</v>
      </c>
      <c r="E41" s="199" t="str">
        <f>Translations!$B$280</f>
        <v>Emissions embedded in this purchased precursor</v>
      </c>
      <c r="F41" s="199"/>
      <c r="G41" s="199"/>
      <c r="H41" s="199"/>
      <c r="I41" s="199"/>
      <c r="J41" s="199"/>
      <c r="K41" s="199"/>
      <c r="L41" s="199"/>
      <c r="M41" s="199"/>
      <c r="N41" s="197"/>
      <c r="T41" s="128"/>
      <c r="V41" s="173"/>
    </row>
    <row r="42" spans="3:24" ht="12.75" customHeight="1" x14ac:dyDescent="0.25">
      <c r="C42" s="193"/>
      <c r="D42" s="200"/>
      <c r="E42" s="1202" t="str">
        <f>Translations!$B$281</f>
        <v>Please enter here the values and sources for the specific embedded direct and indirect emissions, as obtained from the supplier.</v>
      </c>
      <c r="F42" s="1202"/>
      <c r="G42" s="1202"/>
      <c r="H42" s="1202"/>
      <c r="I42" s="1202"/>
      <c r="J42" s="1202"/>
      <c r="K42" s="1202"/>
      <c r="L42" s="1202"/>
      <c r="M42" s="1202"/>
      <c r="N42" s="392"/>
      <c r="T42" s="128"/>
    </row>
    <row r="43" spans="3:24" ht="12.75" customHeight="1" x14ac:dyDescent="0.25">
      <c r="C43" s="193"/>
      <c r="D43" s="200"/>
      <c r="E43" s="1202" t="str">
        <f>Translations!$B$282</f>
        <v>For the SEE (direct), the 'Type of value' relates to whether the direct emissions are measured, or whether a default value provided by the European Commission was applied.</v>
      </c>
      <c r="F43" s="1202"/>
      <c r="G43" s="1202"/>
      <c r="H43" s="1202"/>
      <c r="I43" s="1202"/>
      <c r="J43" s="1202"/>
      <c r="K43" s="1202"/>
      <c r="L43" s="1202"/>
      <c r="M43" s="1202"/>
      <c r="N43" s="392"/>
      <c r="T43" s="128"/>
    </row>
    <row r="44" spans="3:24" ht="12.75" customHeight="1" x14ac:dyDescent="0.25">
      <c r="C44" s="193"/>
      <c r="D44" s="200"/>
      <c r="E44" s="1202" t="str">
        <f>Translations!$B$283</f>
        <v>In order to obtain these data and information, you may want to ask your supplier to fill in an empty copy of this communication template.</v>
      </c>
      <c r="F44" s="1202"/>
      <c r="G44" s="1202"/>
      <c r="H44" s="1202"/>
      <c r="I44" s="1202"/>
      <c r="J44" s="1202"/>
      <c r="K44" s="1202"/>
      <c r="L44" s="1202"/>
      <c r="M44" s="1202"/>
      <c r="N44" s="392"/>
      <c r="T44" s="128"/>
    </row>
    <row r="45" spans="3:24" ht="12.75" customHeight="1" x14ac:dyDescent="0.25">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x14ac:dyDescent="0.25">
      <c r="C46" s="193"/>
      <c r="D46" s="198" t="s">
        <v>1238</v>
      </c>
      <c r="E46" s="202" t="str">
        <f>Translations!$B$286</f>
        <v>Specific embedded direct emissions (SEE (direct) )</v>
      </c>
      <c r="F46" s="202"/>
      <c r="G46" s="202"/>
      <c r="H46" s="202"/>
      <c r="I46" s="202"/>
      <c r="J46" s="202"/>
      <c r="K46" s="219" t="str">
        <f>IF(L11="","",CONST_tCO2eq &amp; "/" &amp; K22)</f>
        <v/>
      </c>
      <c r="L46" s="217"/>
      <c r="M46" s="393"/>
      <c r="N46" s="197"/>
      <c r="O46" s="161"/>
      <c r="R46" s="102" t="str">
        <f>CONST_PurchPrecDefaultUsed&amp;G11</f>
        <v>PurchPrecDef_</v>
      </c>
      <c r="S46" s="102" t="str">
        <f>CONST_CNTR_EmbedEmDir&amp;G11</f>
        <v>EmbedEmDir_</v>
      </c>
      <c r="T46" s="127" t="str">
        <f>IF(G11="","",SUM(T22)*SUM(L46))</f>
        <v/>
      </c>
      <c r="U46" s="105" t="str">
        <f>IF(G11="","",IF(M46="",CONST_ERR_Incomplete,MATCH(M46,CONST_MeasuredOrDefault,0)=2))</f>
        <v/>
      </c>
      <c r="V46" s="162" t="str">
        <f>IF(AND(G11&lt;&gt;"",COUNTA(L46:M46)=2),TRUE,IF(AND(G11&lt;&gt;"",COUNTA(L46:M46)&lt;2),CONST_ErrorOrMissing&amp;C11,CONST_NA))</f>
        <v>n.a.</v>
      </c>
    </row>
    <row r="47" spans="3:24" x14ac:dyDescent="0.25">
      <c r="C47" s="193"/>
      <c r="D47" s="198" t="s">
        <v>1239</v>
      </c>
      <c r="E47" s="202" t="str">
        <f>Translations!$B$287</f>
        <v>Specific embedded indirect emissions (SEE (indirect) )</v>
      </c>
      <c r="F47" s="202"/>
      <c r="G47" s="202"/>
      <c r="H47" s="202"/>
      <c r="I47" s="202"/>
      <c r="J47" s="202"/>
      <c r="K47" s="219" t="str">
        <f>K46</f>
        <v/>
      </c>
      <c r="L47" s="217"/>
      <c r="M47" s="217"/>
      <c r="N47" s="197"/>
      <c r="O47" s="161"/>
      <c r="R47" s="102" t="str">
        <f>CONST_CNTR_ElecEFMethod&amp;G11</f>
        <v>ElecEFMeth_</v>
      </c>
      <c r="S47" s="102" t="str">
        <f>CONST_CNTR_EmbedEmInDir&amp;G11</f>
        <v>EmbedEmInDir_</v>
      </c>
      <c r="T47" s="127" t="str">
        <f>IF(G11="","",SUM(T22)*SUM(L47))</f>
        <v/>
      </c>
      <c r="U47" s="105" t="str">
        <f>IF(G11="","",M47)</f>
        <v/>
      </c>
      <c r="V47" s="162" t="str">
        <f>IF(AND(G11&lt;&gt;"",COUNTA(L47:M47)=2),TRUE,IF(AND(G11&lt;&gt;"",COUNTA(L47:M47)&lt;2),CONST_ErrorOrMissing&amp;C11,CONST_NA))</f>
        <v>n.a.</v>
      </c>
    </row>
    <row r="48" spans="3:24" ht="5.0999999999999996" customHeight="1" x14ac:dyDescent="0.25">
      <c r="C48" s="193"/>
      <c r="D48" s="198"/>
      <c r="E48" s="196"/>
      <c r="F48" s="196"/>
      <c r="G48" s="196"/>
      <c r="H48" s="196"/>
      <c r="I48" s="196"/>
      <c r="J48" s="196"/>
      <c r="K48" s="196"/>
      <c r="L48" s="196"/>
      <c r="M48" s="196"/>
      <c r="N48" s="197"/>
      <c r="T48" s="128"/>
      <c r="U48" s="126"/>
      <c r="V48" s="173"/>
    </row>
    <row r="49" spans="2:24" ht="12.75" customHeight="1" x14ac:dyDescent="0.25">
      <c r="C49" s="193"/>
      <c r="D49" s="198" t="s">
        <v>1240</v>
      </c>
      <c r="E49" s="202" t="str">
        <f>Translations!$B$1858</f>
        <v>Justification for use of default values (if relevant):</v>
      </c>
      <c r="F49" s="202"/>
      <c r="G49" s="202"/>
      <c r="H49" s="202"/>
      <c r="I49" s="202"/>
      <c r="J49" s="202"/>
      <c r="K49" s="1203"/>
      <c r="L49" s="1203"/>
      <c r="M49" s="1203"/>
      <c r="N49" s="197"/>
      <c r="O49" s="161"/>
      <c r="T49" s="128"/>
      <c r="U49" s="126"/>
      <c r="V49" s="162" t="str">
        <f>IF(AND(G11&lt;&gt;"",X49=FALSE,K49&lt;&gt;""),TRUE,IF(AND(G11&lt;&gt;"",M46&lt;&gt;"",X49=FALSE,K49=""),CONST_ErrorOrMissing&amp;C11,CONST_NA))</f>
        <v>n.a.</v>
      </c>
      <c r="X49" s="102" t="b">
        <f>IF(M46="",FALSE,M46&lt;&gt;INDEX(CONST_MeasuredOrDefault,2))</f>
        <v>0</v>
      </c>
    </row>
    <row r="50" spans="2:24" ht="12.75" customHeight="1" thickBot="1" x14ac:dyDescent="0.3">
      <c r="C50" s="208"/>
      <c r="D50" s="209"/>
      <c r="E50" s="210"/>
      <c r="F50" s="211"/>
      <c r="G50" s="211"/>
      <c r="H50" s="211"/>
      <c r="I50" s="211"/>
      <c r="J50" s="211"/>
      <c r="K50" s="211"/>
      <c r="L50" s="211"/>
      <c r="M50" s="211"/>
      <c r="N50" s="212"/>
      <c r="T50" s="128"/>
    </row>
    <row r="51" spans="2:24" ht="12.75" customHeight="1" thickBot="1" x14ac:dyDescent="0.3">
      <c r="T51" s="128"/>
    </row>
    <row r="52" spans="2:24" ht="12.75" customHeight="1" thickBot="1" x14ac:dyDescent="0.3">
      <c r="B52" s="150"/>
      <c r="C52" s="150"/>
      <c r="D52" s="150"/>
      <c r="E52" s="150"/>
      <c r="F52" s="150"/>
      <c r="G52" s="150"/>
      <c r="H52" s="150"/>
      <c r="I52" s="150"/>
      <c r="J52" s="150"/>
      <c r="K52" s="150"/>
      <c r="L52" s="150"/>
      <c r="M52" s="150"/>
      <c r="N52" s="150"/>
      <c r="O52" s="150"/>
      <c r="T52" s="128"/>
    </row>
    <row r="53" spans="2:24" ht="18" customHeight="1" thickBot="1" x14ac:dyDescent="0.3">
      <c r="C53" s="152">
        <f>C11+1</f>
        <v>2</v>
      </c>
      <c r="D53" s="153" t="str">
        <f>CONST_PurchPrecursor &amp; " " &amp; C53 &amp; ":"</f>
        <v>Purchased precursor 2:</v>
      </c>
      <c r="G53" s="1191" t="str">
        <f>IF(INDEX(CNTR_List_ExistPurchPrecNames,MATCH(R53,CNTR_ListPurchPrecID,0))=CONST_NA,"",INDEX(CNTR_List_ExistPurchPrecNames,MATCH(R53,CNTR_ListPurchPrecID,0)))</f>
        <v/>
      </c>
      <c r="H53" s="1192"/>
      <c r="I53" s="1192"/>
      <c r="J53" s="1192"/>
      <c r="K53" s="1193"/>
      <c r="L53" s="1194" t="str">
        <f>IF(INDEX(CNTR_List_ExistPurchPrec,MATCH(R53,CNTR_ListPurchPrecID,0))=CONST_NA,"",INDEX(CNTR_List_ExistPurchPrec,MATCH(R53,CNTR_ListPurchPrecID,0)))</f>
        <v/>
      </c>
      <c r="M53" s="1195"/>
      <c r="N53" s="1196"/>
      <c r="R53" s="154" t="str">
        <f>INDEX(CNTR_ListPurchPrecID,C53)</f>
        <v>PP2</v>
      </c>
      <c r="T53" s="128"/>
      <c r="W53" s="104" t="s">
        <v>1330</v>
      </c>
      <c r="X53" s="155" t="b">
        <f>AND(CNTR_HasEntriesA,G53="")</f>
        <v>0</v>
      </c>
    </row>
    <row r="54" spans="2:24" ht="12.75" customHeight="1" x14ac:dyDescent="0.25">
      <c r="D54" s="103"/>
      <c r="E54" s="98"/>
      <c r="T54" s="128"/>
      <c r="W54" s="104"/>
    </row>
    <row r="55" spans="2:24" ht="12.75" customHeight="1" x14ac:dyDescent="0.25">
      <c r="D55" s="120" t="s">
        <v>1331</v>
      </c>
      <c r="E55" s="98" t="str">
        <f>Translations!$B$276</f>
        <v>Total purchased levels:</v>
      </c>
      <c r="H55" s="156" t="str">
        <f>Translations!$B$244</f>
        <v>Production route</v>
      </c>
      <c r="K55" s="157" t="str">
        <f>Translations!$B$221</f>
        <v>Unit</v>
      </c>
      <c r="L55" s="157" t="str">
        <f>Translations!$B$245</f>
        <v>Amounts</v>
      </c>
      <c r="T55" s="128"/>
    </row>
    <row r="56" spans="2:24" ht="12.75" customHeight="1" x14ac:dyDescent="0.25">
      <c r="D56" s="174">
        <v>1</v>
      </c>
      <c r="E56" s="158" t="str">
        <f>IF(G53="","",G53) &amp; IF(L53="",""," | " &amp; L53)</f>
        <v/>
      </c>
      <c r="F56" s="158"/>
      <c r="G56" s="158"/>
      <c r="H56" s="159" t="str">
        <f>IF(L53="","",INDEX(CONST_MATRIX_ProductionRoute,MATCH(L53,CONST_LIST_Goods,0),D56))</f>
        <v/>
      </c>
      <c r="I56" s="158"/>
      <c r="J56" s="158"/>
      <c r="K56" s="160" t="str">
        <f>IF(L53="","",INDEX(CONST_LIST_GoodsUnit,MATCH(L53,CONST_LIST_Goods,0)))</f>
        <v/>
      </c>
      <c r="L56" s="33"/>
      <c r="S56" s="105">
        <v>1</v>
      </c>
      <c r="T56" s="869"/>
    </row>
    <row r="57" spans="2:24" ht="12.75" customHeight="1" x14ac:dyDescent="0.25">
      <c r="D57" s="174">
        <v>2</v>
      </c>
      <c r="E57" s="163" t="str">
        <f t="shared" ref="E57:E63" si="5">IF(H57=CONST_NA,"",E56)</f>
        <v/>
      </c>
      <c r="F57" s="163"/>
      <c r="G57" s="163"/>
      <c r="H57" s="164" t="str">
        <f>IF(L53="","",INDEX(CONST_MATRIX_ProductionRoute,MATCH(L53,CONST_LIST_Goods,0),D57))</f>
        <v/>
      </c>
      <c r="I57" s="163"/>
      <c r="J57" s="163"/>
      <c r="K57" s="165" t="str">
        <f t="shared" ref="K57:K63" si="6">IF(H57=CONST_NA,"",K56)</f>
        <v/>
      </c>
      <c r="L57" s="34"/>
      <c r="S57" s="105">
        <v>2</v>
      </c>
      <c r="T57" s="869"/>
    </row>
    <row r="58" spans="2:24" ht="12.75" customHeight="1" x14ac:dyDescent="0.25">
      <c r="D58" s="174">
        <v>3</v>
      </c>
      <c r="E58" s="163" t="str">
        <f t="shared" si="5"/>
        <v/>
      </c>
      <c r="F58" s="163"/>
      <c r="G58" s="163"/>
      <c r="H58" s="164" t="str">
        <f>IF(L53="","",INDEX(CONST_MATRIX_ProductionRoute,MATCH(L53,CONST_LIST_Goods,0),D58))</f>
        <v/>
      </c>
      <c r="I58" s="163"/>
      <c r="J58" s="163"/>
      <c r="K58" s="165" t="str">
        <f t="shared" si="6"/>
        <v/>
      </c>
      <c r="L58" s="34"/>
      <c r="S58" s="105">
        <v>3</v>
      </c>
      <c r="T58" s="869"/>
    </row>
    <row r="59" spans="2:24" ht="12.75" customHeight="1" x14ac:dyDescent="0.25">
      <c r="D59" s="174">
        <v>4</v>
      </c>
      <c r="E59" s="163" t="str">
        <f t="shared" si="5"/>
        <v/>
      </c>
      <c r="F59" s="163"/>
      <c r="G59" s="163"/>
      <c r="H59" s="164" t="str">
        <f>IF(L53="","",INDEX(CONST_MATRIX_ProductionRoute,MATCH(L53,CONST_LIST_Goods,0),D59))</f>
        <v/>
      </c>
      <c r="I59" s="163"/>
      <c r="J59" s="163"/>
      <c r="K59" s="165" t="str">
        <f t="shared" si="6"/>
        <v/>
      </c>
      <c r="L59" s="34"/>
      <c r="S59" s="105">
        <v>4</v>
      </c>
      <c r="T59" s="869"/>
    </row>
    <row r="60" spans="2:24" ht="12.75" customHeight="1" x14ac:dyDescent="0.25">
      <c r="D60" s="174">
        <v>5</v>
      </c>
      <c r="E60" s="163" t="str">
        <f t="shared" si="5"/>
        <v/>
      </c>
      <c r="F60" s="163"/>
      <c r="G60" s="163"/>
      <c r="H60" s="164" t="str">
        <f>IF(L53="","",INDEX(CONST_MATRIX_ProductionRoute,MATCH(L53,CONST_LIST_Goods,0),D60))</f>
        <v/>
      </c>
      <c r="I60" s="163"/>
      <c r="J60" s="163"/>
      <c r="K60" s="165" t="str">
        <f t="shared" si="6"/>
        <v/>
      </c>
      <c r="L60" s="34"/>
      <c r="S60" s="105">
        <v>5</v>
      </c>
      <c r="T60" s="869"/>
    </row>
    <row r="61" spans="2:24" ht="12.75" customHeight="1" x14ac:dyDescent="0.25">
      <c r="D61" s="174">
        <v>6</v>
      </c>
      <c r="E61" s="163" t="str">
        <f t="shared" si="5"/>
        <v/>
      </c>
      <c r="F61" s="163"/>
      <c r="G61" s="163"/>
      <c r="H61" s="164" t="str">
        <f>IF(L53="","",INDEX(CONST_MATRIX_ProductionRoute,MATCH(L53,CONST_LIST_Goods,0),D61))</f>
        <v/>
      </c>
      <c r="I61" s="163"/>
      <c r="J61" s="163"/>
      <c r="K61" s="165" t="str">
        <f t="shared" si="6"/>
        <v/>
      </c>
      <c r="L61" s="34"/>
      <c r="S61" s="105">
        <v>6</v>
      </c>
      <c r="T61" s="869"/>
    </row>
    <row r="62" spans="2:24" ht="12.75" customHeight="1" x14ac:dyDescent="0.25">
      <c r="D62" s="174">
        <v>7</v>
      </c>
      <c r="E62" s="163" t="str">
        <f t="shared" si="5"/>
        <v/>
      </c>
      <c r="F62" s="163"/>
      <c r="G62" s="163"/>
      <c r="H62" s="164" t="str">
        <f>IF(L53="","",INDEX(CONST_MATRIX_ProductionRoute,MATCH(L53,CONST_LIST_Goods,0),D62))</f>
        <v/>
      </c>
      <c r="I62" s="163"/>
      <c r="J62" s="163"/>
      <c r="K62" s="165" t="str">
        <f t="shared" si="6"/>
        <v/>
      </c>
      <c r="L62" s="34"/>
      <c r="S62" s="105">
        <v>7</v>
      </c>
      <c r="T62" s="869"/>
    </row>
    <row r="63" spans="2:24" ht="12.75" customHeight="1" x14ac:dyDescent="0.25">
      <c r="D63" s="174">
        <v>8</v>
      </c>
      <c r="E63" s="166" t="str">
        <f t="shared" si="5"/>
        <v/>
      </c>
      <c r="F63" s="166"/>
      <c r="G63" s="166"/>
      <c r="H63" s="167" t="str">
        <f>IF(L53="","",INDEX(CONST_MATRIX_ProductionRoute,MATCH(L53,CONST_LIST_Goods,0),D63))</f>
        <v/>
      </c>
      <c r="I63" s="166"/>
      <c r="J63" s="166"/>
      <c r="K63" s="168" t="str">
        <f t="shared" si="6"/>
        <v/>
      </c>
      <c r="L63" s="35"/>
      <c r="S63" s="105">
        <v>8</v>
      </c>
      <c r="T63" s="869"/>
    </row>
    <row r="64" spans="2:24" ht="12.75" customHeight="1" x14ac:dyDescent="0.25">
      <c r="D64" s="103"/>
      <c r="E64" s="143" t="str">
        <f>Translations!$B$277</f>
        <v>Total consumption within installation:</v>
      </c>
      <c r="F64" s="143"/>
      <c r="G64" s="143"/>
      <c r="H64" s="169"/>
      <c r="I64" s="143"/>
      <c r="J64" s="143"/>
      <c r="K64" s="171" t="str">
        <f>K56</f>
        <v/>
      </c>
      <c r="L64" s="394" t="str">
        <f>IF(G53="","",SUM(L56:L63))</f>
        <v/>
      </c>
      <c r="R64" s="102" t="str">
        <f>CONST_CNTR_TotProd&amp;G53</f>
        <v>TotProd_</v>
      </c>
      <c r="T64" s="218" t="str">
        <f>IF(G53="","",IF(SUM(L64)=0,100,L64))</f>
        <v/>
      </c>
    </row>
    <row r="65" spans="3:24" ht="5.0999999999999996" customHeight="1" x14ac:dyDescent="0.25">
      <c r="D65" s="137"/>
      <c r="E65" s="98"/>
      <c r="T65" s="128"/>
    </row>
    <row r="66" spans="3:24" ht="12.75" customHeight="1" x14ac:dyDescent="0.25">
      <c r="D66" s="120" t="s">
        <v>1253</v>
      </c>
      <c r="E66" s="98" t="str">
        <f>Translations!$B$278</f>
        <v>Consumed in "production processes" within the installation:</v>
      </c>
      <c r="F66" s="98"/>
      <c r="G66" s="98"/>
      <c r="H66" s="98"/>
      <c r="I66" s="98"/>
      <c r="J66" s="98"/>
      <c r="K66" s="120" t="str">
        <f>Translations!$B$221</f>
        <v>Unit</v>
      </c>
      <c r="L66" s="120" t="str">
        <f>Translations!$B$245</f>
        <v>Amounts</v>
      </c>
      <c r="S66" s="126" t="s">
        <v>1332</v>
      </c>
      <c r="T66" s="128"/>
    </row>
    <row r="67" spans="3:24" ht="12.75" customHeight="1" x14ac:dyDescent="0.25">
      <c r="D67" s="174">
        <v>1</v>
      </c>
      <c r="E67" s="175" t="str">
        <f t="shared" ref="E67:E76" si="7">IF(INDEX(CNTR_List_ExistProdProcNames,S67)=CONST_NA,"",INDEX(CNTR_List_ExistProdProcNames,S67))</f>
        <v/>
      </c>
      <c r="F67" s="176"/>
      <c r="G67" s="176"/>
      <c r="H67" s="176"/>
      <c r="I67" s="176"/>
      <c r="J67" s="177"/>
      <c r="K67" s="160" t="str">
        <f>IF(E67="","",K64)</f>
        <v/>
      </c>
      <c r="L67" s="28"/>
      <c r="O67" s="161"/>
      <c r="R67" s="102" t="str">
        <f>CONST_PrecursorToGoodInput&amp;G53 &amp;"_"&amp;E67</f>
        <v>PrecToGood__</v>
      </c>
      <c r="S67" s="105">
        <f>D67</f>
        <v>1</v>
      </c>
      <c r="T67" s="127" t="str">
        <f>IF(G53="","",L67)</f>
        <v/>
      </c>
      <c r="V67" s="162" t="str">
        <f>IF(AND(G53&lt;&gt;"",E67&lt;&gt;"",L67&lt;&gt;""),TRUE,IF(AND(G53&lt;&gt;"",E67&lt;&gt;"",L67="",X67=FALSE),CONST_ErrorOrMissing&amp;C53,CONST_NA))</f>
        <v>n.a.</v>
      </c>
      <c r="W67" s="89" t="s">
        <v>1333</v>
      </c>
      <c r="X67" s="102" t="b">
        <f>IF(G53="",FALSE,E67="")</f>
        <v>0</v>
      </c>
    </row>
    <row r="68" spans="3:24" ht="12.75" customHeight="1" x14ac:dyDescent="0.25">
      <c r="D68" s="174">
        <v>2</v>
      </c>
      <c r="E68" s="178" t="str">
        <f t="shared" si="7"/>
        <v/>
      </c>
      <c r="F68" s="179"/>
      <c r="G68" s="179"/>
      <c r="H68" s="179"/>
      <c r="I68" s="179"/>
      <c r="J68" s="180"/>
      <c r="K68" s="165" t="str">
        <f>IF(E68="","",K67)</f>
        <v/>
      </c>
      <c r="L68" s="29"/>
      <c r="O68" s="161"/>
      <c r="R68" s="102" t="str">
        <f>CONST_PrecursorToGoodInput&amp;G53 &amp;"_"&amp;E68</f>
        <v>PrecToGood__</v>
      </c>
      <c r="S68" s="105">
        <f t="shared" ref="S68:S76" si="8">D68</f>
        <v>2</v>
      </c>
      <c r="T68" s="127" t="str">
        <f>IF(G53="","",L68)</f>
        <v/>
      </c>
      <c r="V68" s="162" t="str">
        <f>IF(AND(G53&lt;&gt;"",E68&lt;&gt;"",L68&lt;&gt;""),TRUE,IF(AND(G53&lt;&gt;"",E68&lt;&gt;"",L68="",X68=FALSE),CONST_ErrorOrMissing&amp;C53,CONST_NA))</f>
        <v>n.a.</v>
      </c>
      <c r="X68" s="102" t="b">
        <f>IF(G53="",FALSE,E68="")</f>
        <v>0</v>
      </c>
    </row>
    <row r="69" spans="3:24" ht="12.75" customHeight="1" x14ac:dyDescent="0.25">
      <c r="D69" s="174">
        <v>3</v>
      </c>
      <c r="E69" s="178" t="str">
        <f t="shared" si="7"/>
        <v/>
      </c>
      <c r="F69" s="179"/>
      <c r="G69" s="179"/>
      <c r="H69" s="179"/>
      <c r="I69" s="179"/>
      <c r="J69" s="180"/>
      <c r="K69" s="165" t="str">
        <f t="shared" ref="K69:K76" si="9">IF(E69="","",K68)</f>
        <v/>
      </c>
      <c r="L69" s="29"/>
      <c r="O69" s="161"/>
      <c r="R69" s="102" t="str">
        <f>CONST_PrecursorToGoodInput&amp;G53 &amp;"_"&amp;E69</f>
        <v>PrecToGood__</v>
      </c>
      <c r="S69" s="105">
        <f t="shared" si="8"/>
        <v>3</v>
      </c>
      <c r="T69" s="127" t="str">
        <f>IF(G53="","",L69)</f>
        <v/>
      </c>
      <c r="V69" s="162" t="str">
        <f>IF(AND(G53&lt;&gt;"",E69&lt;&gt;"",L69&lt;&gt;""),TRUE,IF(AND(G53&lt;&gt;"",E69&lt;&gt;"",L69="",X69=FALSE),CONST_ErrorOrMissing&amp;C53,CONST_NA))</f>
        <v>n.a.</v>
      </c>
      <c r="X69" s="102" t="b">
        <f>IF(G53="",FALSE,E69="")</f>
        <v>0</v>
      </c>
    </row>
    <row r="70" spans="3:24" ht="12.75" customHeight="1" x14ac:dyDescent="0.25">
      <c r="D70" s="174">
        <v>4</v>
      </c>
      <c r="E70" s="178" t="str">
        <f t="shared" si="7"/>
        <v/>
      </c>
      <c r="F70" s="179"/>
      <c r="G70" s="179"/>
      <c r="H70" s="179"/>
      <c r="I70" s="179"/>
      <c r="J70" s="180"/>
      <c r="K70" s="165" t="str">
        <f t="shared" si="9"/>
        <v/>
      </c>
      <c r="L70" s="29"/>
      <c r="O70" s="161"/>
      <c r="R70" s="102" t="str">
        <f>CONST_PrecursorToGoodInput&amp;G53 &amp;"_"&amp;E70</f>
        <v>PrecToGood__</v>
      </c>
      <c r="S70" s="105">
        <f t="shared" si="8"/>
        <v>4</v>
      </c>
      <c r="T70" s="127" t="str">
        <f>IF(G53="","",L70)</f>
        <v/>
      </c>
      <c r="V70" s="162" t="str">
        <f>IF(AND(G53&lt;&gt;"",E70&lt;&gt;"",L70&lt;&gt;""),TRUE,IF(AND(G53&lt;&gt;"",E70&lt;&gt;"",L70="",X70=FALSE),CONST_ErrorOrMissing&amp;C53,CONST_NA))</f>
        <v>n.a.</v>
      </c>
      <c r="X70" s="102" t="b">
        <f>IF(G53="",FALSE,E70="")</f>
        <v>0</v>
      </c>
    </row>
    <row r="71" spans="3:24" ht="12.75" customHeight="1" x14ac:dyDescent="0.25">
      <c r="D71" s="174">
        <v>5</v>
      </c>
      <c r="E71" s="181" t="str">
        <f t="shared" si="7"/>
        <v/>
      </c>
      <c r="F71" s="182"/>
      <c r="G71" s="182"/>
      <c r="H71" s="182"/>
      <c r="I71" s="182"/>
      <c r="J71" s="183"/>
      <c r="K71" s="184" t="str">
        <f t="shared" si="9"/>
        <v/>
      </c>
      <c r="L71" s="214"/>
      <c r="O71" s="161"/>
      <c r="R71" s="102" t="str">
        <f>CONST_PrecursorToGoodInput&amp;G53 &amp;"_"&amp;E71</f>
        <v>PrecToGood__</v>
      </c>
      <c r="S71" s="105">
        <f t="shared" si="8"/>
        <v>5</v>
      </c>
      <c r="T71" s="127" t="str">
        <f>IF(G53="","",L71)</f>
        <v/>
      </c>
      <c r="V71" s="162" t="str">
        <f>IF(AND(G53&lt;&gt;"",E71&lt;&gt;"",L71&lt;&gt;""),TRUE,IF(AND(G53&lt;&gt;"",E71&lt;&gt;"",L71="",X71=FALSE),CONST_ErrorOrMissing&amp;C53,CONST_NA))</f>
        <v>n.a.</v>
      </c>
      <c r="X71" s="102" t="b">
        <f>IF(G53="",FALSE,E71="")</f>
        <v>0</v>
      </c>
    </row>
    <row r="72" spans="3:24" ht="12.75" customHeight="1" x14ac:dyDescent="0.25">
      <c r="D72" s="174">
        <v>6</v>
      </c>
      <c r="E72" s="181" t="str">
        <f t="shared" si="7"/>
        <v/>
      </c>
      <c r="F72" s="182"/>
      <c r="G72" s="182"/>
      <c r="H72" s="182"/>
      <c r="I72" s="182"/>
      <c r="J72" s="183"/>
      <c r="K72" s="184" t="str">
        <f t="shared" si="9"/>
        <v/>
      </c>
      <c r="L72" s="214"/>
      <c r="O72" s="161"/>
      <c r="R72" s="102" t="str">
        <f>CONST_PrecursorToGoodInput&amp;G53 &amp;"_"&amp;E72</f>
        <v>PrecToGood__</v>
      </c>
      <c r="S72" s="105">
        <f t="shared" si="8"/>
        <v>6</v>
      </c>
      <c r="T72" s="127" t="str">
        <f>IF(G53="","",L72)</f>
        <v/>
      </c>
      <c r="V72" s="162" t="str">
        <f>IF(AND(G53&lt;&gt;"",E72&lt;&gt;"",L72&lt;&gt;""),TRUE,IF(AND(G53&lt;&gt;"",E72&lt;&gt;"",L72="",X72=FALSE),CONST_ErrorOrMissing&amp;C53,CONST_NA))</f>
        <v>n.a.</v>
      </c>
      <c r="X72" s="102" t="b">
        <f>IF(G53="",FALSE,E72="")</f>
        <v>0</v>
      </c>
    </row>
    <row r="73" spans="3:24" ht="12.75" customHeight="1" x14ac:dyDescent="0.25">
      <c r="D73" s="174">
        <v>7</v>
      </c>
      <c r="E73" s="181" t="str">
        <f t="shared" si="7"/>
        <v/>
      </c>
      <c r="F73" s="182"/>
      <c r="G73" s="182"/>
      <c r="H73" s="182"/>
      <c r="I73" s="182"/>
      <c r="J73" s="183"/>
      <c r="K73" s="184" t="str">
        <f t="shared" si="9"/>
        <v/>
      </c>
      <c r="L73" s="214"/>
      <c r="O73" s="161"/>
      <c r="R73" s="102" t="str">
        <f>CONST_PrecursorToGoodInput&amp;G53 &amp;"_"&amp;E73</f>
        <v>PrecToGood__</v>
      </c>
      <c r="S73" s="105">
        <f t="shared" si="8"/>
        <v>7</v>
      </c>
      <c r="T73" s="127" t="str">
        <f>IF(G53="","",L73)</f>
        <v/>
      </c>
      <c r="V73" s="162" t="str">
        <f>IF(AND(G53&lt;&gt;"",E73&lt;&gt;"",L73&lt;&gt;""),TRUE,IF(AND(G53&lt;&gt;"",E73&lt;&gt;"",L73="",X73=FALSE),CONST_ErrorOrMissing&amp;C53,CONST_NA))</f>
        <v>n.a.</v>
      </c>
      <c r="X73" s="102" t="b">
        <f>IF(G53="",FALSE,E73="")</f>
        <v>0</v>
      </c>
    </row>
    <row r="74" spans="3:24" ht="12.75" customHeight="1" x14ac:dyDescent="0.25">
      <c r="D74" s="174">
        <v>8</v>
      </c>
      <c r="E74" s="181" t="str">
        <f t="shared" si="7"/>
        <v/>
      </c>
      <c r="F74" s="182"/>
      <c r="G74" s="182"/>
      <c r="H74" s="182"/>
      <c r="I74" s="182"/>
      <c r="J74" s="183"/>
      <c r="K74" s="184" t="str">
        <f t="shared" si="9"/>
        <v/>
      </c>
      <c r="L74" s="214"/>
      <c r="O74" s="161"/>
      <c r="R74" s="102" t="str">
        <f>CONST_PrecursorToGoodInput&amp;G53 &amp;"_"&amp;E74</f>
        <v>PrecToGood__</v>
      </c>
      <c r="S74" s="105">
        <f t="shared" si="8"/>
        <v>8</v>
      </c>
      <c r="T74" s="127" t="str">
        <f>IF(G53="","",L74)</f>
        <v/>
      </c>
      <c r="V74" s="162" t="str">
        <f>IF(AND(G53&lt;&gt;"",E74&lt;&gt;"",L74&lt;&gt;""),TRUE,IF(AND(G53&lt;&gt;"",E74&lt;&gt;"",L74="",X74=FALSE),CONST_ErrorOrMissing&amp;C53,CONST_NA))</f>
        <v>n.a.</v>
      </c>
      <c r="X74" s="102" t="b">
        <f>IF(G53="",FALSE,E74="")</f>
        <v>0</v>
      </c>
    </row>
    <row r="75" spans="3:24" ht="12.75" customHeight="1" x14ac:dyDescent="0.25">
      <c r="D75" s="174">
        <v>9</v>
      </c>
      <c r="E75" s="181" t="str">
        <f t="shared" si="7"/>
        <v/>
      </c>
      <c r="F75" s="182"/>
      <c r="G75" s="182"/>
      <c r="H75" s="182"/>
      <c r="I75" s="182"/>
      <c r="J75" s="183"/>
      <c r="K75" s="184" t="str">
        <f t="shared" si="9"/>
        <v/>
      </c>
      <c r="L75" s="214"/>
      <c r="O75" s="161"/>
      <c r="R75" s="102" t="str">
        <f>CONST_PrecursorToGoodInput&amp;G53 &amp;"_"&amp;E75</f>
        <v>PrecToGood__</v>
      </c>
      <c r="S75" s="105">
        <f t="shared" si="8"/>
        <v>9</v>
      </c>
      <c r="T75" s="127" t="str">
        <f>IF(G53="","",L75)</f>
        <v/>
      </c>
      <c r="V75" s="162" t="str">
        <f>IF(AND(G53&lt;&gt;"",E75&lt;&gt;"",L75&lt;&gt;""),TRUE,IF(AND(G53&lt;&gt;"",E75&lt;&gt;"",L75="",X75=FALSE),CONST_ErrorOrMissing&amp;C53,CONST_NA))</f>
        <v>n.a.</v>
      </c>
      <c r="X75" s="102" t="b">
        <f>IF(G53="",FALSE,E75="")</f>
        <v>0</v>
      </c>
    </row>
    <row r="76" spans="3:24" ht="12.75" customHeight="1" x14ac:dyDescent="0.25">
      <c r="D76" s="174">
        <v>10</v>
      </c>
      <c r="E76" s="185" t="str">
        <f t="shared" si="7"/>
        <v/>
      </c>
      <c r="F76" s="186"/>
      <c r="G76" s="186"/>
      <c r="H76" s="186"/>
      <c r="I76" s="186"/>
      <c r="J76" s="187"/>
      <c r="K76" s="168" t="str">
        <f t="shared" si="9"/>
        <v/>
      </c>
      <c r="L76" s="30"/>
      <c r="O76" s="161"/>
      <c r="R76" s="102" t="str">
        <f>CONST_PrecursorToGoodInput&amp;G53 &amp;"_"&amp;E76</f>
        <v>PrecToGood__</v>
      </c>
      <c r="S76" s="105">
        <f t="shared" si="8"/>
        <v>10</v>
      </c>
      <c r="T76" s="127" t="str">
        <f>IF(G53="","",L76)</f>
        <v/>
      </c>
      <c r="V76" s="162" t="str">
        <f>IF(AND(G53&lt;&gt;"",E76&lt;&gt;"",L76&lt;&gt;""),TRUE,IF(AND(G53&lt;&gt;"",E76&lt;&gt;"",L76="",X76=FALSE),CONST_ErrorOrMissing&amp;C53,CONST_NA))</f>
        <v>n.a.</v>
      </c>
      <c r="X76" s="102" t="b">
        <f>IF(G53="",FALSE,E76="")</f>
        <v>0</v>
      </c>
    </row>
    <row r="77" spans="3:24" ht="12.75" customHeight="1" x14ac:dyDescent="0.25">
      <c r="D77" s="120" t="s">
        <v>1254</v>
      </c>
      <c r="E77" s="98" t="str">
        <f>Translations!$B$252</f>
        <v>Consumed for non-CBAM goods within the installation:</v>
      </c>
      <c r="F77" s="98"/>
      <c r="G77" s="98"/>
      <c r="H77" s="98"/>
      <c r="I77" s="98"/>
      <c r="J77" s="98"/>
      <c r="K77" s="171" t="str">
        <f>K64</f>
        <v/>
      </c>
      <c r="L77" s="220"/>
      <c r="T77" s="128"/>
    </row>
    <row r="78" spans="3:24" ht="12.75" customHeight="1" x14ac:dyDescent="0.25">
      <c r="D78" s="120" t="s">
        <v>1334</v>
      </c>
      <c r="E78" s="143" t="str">
        <f>Translations!$B$253</f>
        <v>Control:</v>
      </c>
      <c r="F78" s="172"/>
      <c r="G78" s="172"/>
      <c r="H78" s="172"/>
      <c r="I78" s="172"/>
      <c r="J78" s="172"/>
      <c r="K78" s="171" t="str">
        <f>K77</f>
        <v/>
      </c>
      <c r="L78" s="121" t="str">
        <f>IF(G53="","",SUM(L64)-SUM(L67:L77))</f>
        <v/>
      </c>
      <c r="T78" s="128"/>
    </row>
    <row r="79" spans="3:24" ht="12.75" customHeight="1" thickBot="1" x14ac:dyDescent="0.3">
      <c r="T79" s="128"/>
    </row>
    <row r="80" spans="3:24" ht="12.75" customHeight="1" x14ac:dyDescent="0.25">
      <c r="C80" s="188"/>
      <c r="D80" s="189"/>
      <c r="E80" s="190"/>
      <c r="F80" s="191"/>
      <c r="G80" s="191"/>
      <c r="H80" s="191"/>
      <c r="I80" s="191"/>
      <c r="J80" s="191"/>
      <c r="K80" s="191"/>
      <c r="L80" s="191"/>
      <c r="M80" s="191"/>
      <c r="N80" s="192"/>
      <c r="T80" s="128"/>
    </row>
    <row r="81" spans="2:24" ht="15" customHeight="1" x14ac:dyDescent="0.25">
      <c r="C81" s="193"/>
      <c r="D81" s="194" t="str">
        <f>Translations!$B$279</f>
        <v>Specific embedded emissions:</v>
      </c>
      <c r="E81" s="195"/>
      <c r="F81" s="196"/>
      <c r="G81" s="196"/>
      <c r="H81" s="196"/>
      <c r="I81" s="196"/>
      <c r="J81" s="1201" t="str">
        <f>IF(G53="","",G53)</f>
        <v/>
      </c>
      <c r="K81" s="1201"/>
      <c r="L81" s="1201"/>
      <c r="M81" s="1201"/>
      <c r="N81" s="197"/>
      <c r="T81" s="128"/>
    </row>
    <row r="82" spans="2:24" ht="5.0999999999999996" customHeight="1" x14ac:dyDescent="0.25">
      <c r="C82" s="193"/>
      <c r="D82" s="198"/>
      <c r="E82" s="199"/>
      <c r="F82" s="196"/>
      <c r="G82" s="196"/>
      <c r="H82" s="196"/>
      <c r="I82" s="196"/>
      <c r="J82" s="196"/>
      <c r="K82" s="196"/>
      <c r="L82" s="196"/>
      <c r="M82" s="196"/>
      <c r="N82" s="197"/>
      <c r="T82" s="128"/>
    </row>
    <row r="83" spans="2:24" ht="12.75" customHeight="1" x14ac:dyDescent="0.25">
      <c r="C83" s="193"/>
      <c r="D83" s="200" t="s">
        <v>1335</v>
      </c>
      <c r="E83" s="199" t="str">
        <f>Translations!$B$280</f>
        <v>Emissions embedded in this purchased precursor</v>
      </c>
      <c r="F83" s="199"/>
      <c r="G83" s="199"/>
      <c r="H83" s="199"/>
      <c r="I83" s="199"/>
      <c r="J83" s="199"/>
      <c r="K83" s="199"/>
      <c r="L83" s="199"/>
      <c r="M83" s="199"/>
      <c r="N83" s="197"/>
      <c r="T83" s="128"/>
      <c r="V83" s="173"/>
    </row>
    <row r="84" spans="2:24" ht="12.75" customHeight="1" x14ac:dyDescent="0.25">
      <c r="C84" s="193"/>
      <c r="D84" s="200"/>
      <c r="E84" s="1202" t="str">
        <f>Translations!$B$281</f>
        <v>Please enter here the values and sources for the specific embedded direct and indirect emissions, as obtained from the supplier.</v>
      </c>
      <c r="F84" s="1202"/>
      <c r="G84" s="1202"/>
      <c r="H84" s="1202"/>
      <c r="I84" s="1202"/>
      <c r="J84" s="1202"/>
      <c r="K84" s="1202"/>
      <c r="L84" s="1202"/>
      <c r="M84" s="1202"/>
      <c r="N84" s="392"/>
      <c r="T84" s="128"/>
    </row>
    <row r="85" spans="2:24" ht="12.75" customHeight="1" x14ac:dyDescent="0.25">
      <c r="C85" s="193"/>
      <c r="D85" s="200"/>
      <c r="E85" s="1202" t="str">
        <f>Translations!$B$282</f>
        <v>For the SEE (direct), the 'Type of value' relates to whether the direct emissions are measured, or whether a default value provided by the European Commission was applied.</v>
      </c>
      <c r="F85" s="1202"/>
      <c r="G85" s="1202"/>
      <c r="H85" s="1202"/>
      <c r="I85" s="1202"/>
      <c r="J85" s="1202"/>
      <c r="K85" s="1202"/>
      <c r="L85" s="1202"/>
      <c r="M85" s="1202"/>
      <c r="N85" s="392"/>
      <c r="T85" s="128"/>
    </row>
    <row r="86" spans="2:24" ht="12.75" customHeight="1" x14ac:dyDescent="0.25">
      <c r="C86" s="193"/>
      <c r="D86" s="200"/>
      <c r="E86" s="1202" t="str">
        <f>Translations!$B$283</f>
        <v>In order to obtain these data and information, you may want to ask your supplier to fill in an empty copy of this communication template.</v>
      </c>
      <c r="F86" s="1202"/>
      <c r="G86" s="1202"/>
      <c r="H86" s="1202"/>
      <c r="I86" s="1202"/>
      <c r="J86" s="1202"/>
      <c r="K86" s="1202"/>
      <c r="L86" s="1202"/>
      <c r="M86" s="1202"/>
      <c r="N86" s="392"/>
      <c r="T86" s="128"/>
    </row>
    <row r="87" spans="2:24" ht="12.75" customHeight="1" x14ac:dyDescent="0.25">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x14ac:dyDescent="0.25">
      <c r="C88" s="193"/>
      <c r="D88" s="198" t="s">
        <v>1238</v>
      </c>
      <c r="E88" s="202" t="str">
        <f>Translations!$B$286</f>
        <v>Specific embedded direct emissions (SEE (direct) )</v>
      </c>
      <c r="F88" s="202"/>
      <c r="G88" s="202"/>
      <c r="H88" s="202"/>
      <c r="I88" s="202"/>
      <c r="J88" s="202"/>
      <c r="K88" s="219" t="str">
        <f>IF(L53="","",CONST_tCO2eq &amp; "/" &amp; K64)</f>
        <v/>
      </c>
      <c r="L88" s="217"/>
      <c r="M88" s="393"/>
      <c r="N88" s="197"/>
      <c r="O88" s="161"/>
      <c r="R88" s="102" t="str">
        <f>CONST_PurchPrecDefaultUsed&amp;G53</f>
        <v>PurchPrecDef_</v>
      </c>
      <c r="S88" s="102" t="str">
        <f>CONST_CNTR_EmbedEmDir&amp;G53</f>
        <v>EmbedEmDir_</v>
      </c>
      <c r="T88" s="127" t="str">
        <f>IF(G53="","",SUM(T64)*SUM(L88))</f>
        <v/>
      </c>
      <c r="U88" s="105" t="str">
        <f>IF(G53="","",IF(M88="",CONST_ERR_Incomplete,MATCH(M88,CONST_MeasuredOrDefault,0)=2))</f>
        <v/>
      </c>
      <c r="V88" s="162" t="str">
        <f>IF(AND(G53&lt;&gt;"",COUNTA(L88:M88)=2),TRUE,IF(AND(G53&lt;&gt;"",COUNTA(L88:M88)&lt;2),CONST_ErrorOrMissing&amp;C53,CONST_NA))</f>
        <v>n.a.</v>
      </c>
    </row>
    <row r="89" spans="2:24" x14ac:dyDescent="0.25">
      <c r="C89" s="193"/>
      <c r="D89" s="198" t="s">
        <v>1239</v>
      </c>
      <c r="E89" s="202" t="str">
        <f>Translations!$B$287</f>
        <v>Specific embedded indirect emissions (SEE (indirect) )</v>
      </c>
      <c r="F89" s="202"/>
      <c r="G89" s="202"/>
      <c r="H89" s="202"/>
      <c r="I89" s="202"/>
      <c r="J89" s="202"/>
      <c r="K89" s="219" t="str">
        <f>K88</f>
        <v/>
      </c>
      <c r="L89" s="217"/>
      <c r="M89" s="217"/>
      <c r="N89" s="197"/>
      <c r="O89" s="161"/>
      <c r="R89" s="102" t="str">
        <f>CONST_CNTR_ElecEFMethod&amp;G53</f>
        <v>ElecEFMeth_</v>
      </c>
      <c r="S89" s="102" t="str">
        <f>CONST_CNTR_EmbedEmInDir&amp;G53</f>
        <v>EmbedEmInDir_</v>
      </c>
      <c r="T89" s="127" t="str">
        <f>IF(G53="","",SUM(T64)*SUM(L89))</f>
        <v/>
      </c>
      <c r="U89" s="105" t="str">
        <f>IF(G53="","",M89)</f>
        <v/>
      </c>
      <c r="V89" s="162" t="str">
        <f>IF(AND(G53&lt;&gt;"",COUNTA(L89:M89)=2),TRUE,IF(AND(G53&lt;&gt;"",COUNTA(L89:M89)&lt;2),CONST_ErrorOrMissing&amp;C53,CONST_NA))</f>
        <v>n.a.</v>
      </c>
    </row>
    <row r="90" spans="2:24" ht="5.0999999999999996" customHeight="1" x14ac:dyDescent="0.25">
      <c r="C90" s="193"/>
      <c r="D90" s="198"/>
      <c r="E90" s="196"/>
      <c r="F90" s="196"/>
      <c r="G90" s="196"/>
      <c r="H90" s="196"/>
      <c r="I90" s="196"/>
      <c r="J90" s="196"/>
      <c r="K90" s="196"/>
      <c r="L90" s="196"/>
      <c r="M90" s="196"/>
      <c r="N90" s="197"/>
      <c r="T90" s="128"/>
      <c r="U90" s="126"/>
      <c r="V90" s="173"/>
    </row>
    <row r="91" spans="2:24" ht="12.75" customHeight="1" x14ac:dyDescent="0.25">
      <c r="C91" s="193"/>
      <c r="D91" s="198" t="s">
        <v>1240</v>
      </c>
      <c r="E91" s="202" t="str">
        <f>Translations!$B$1858</f>
        <v>Justification for use of default values (if relevant):</v>
      </c>
      <c r="F91" s="202"/>
      <c r="G91" s="202"/>
      <c r="H91" s="202"/>
      <c r="I91" s="202"/>
      <c r="J91" s="202"/>
      <c r="K91" s="1203"/>
      <c r="L91" s="1203"/>
      <c r="M91" s="1203"/>
      <c r="N91" s="197"/>
      <c r="O91" s="161"/>
      <c r="T91" s="128"/>
      <c r="U91" s="126"/>
      <c r="V91" s="162" t="str">
        <f>IF(AND(G53&lt;&gt;"",X91=FALSE,K91&lt;&gt;""),TRUE,IF(AND(G53&lt;&gt;"",M88&lt;&gt;"",X91=FALSE,K91=""),CONST_ErrorOrMissing&amp;C53,CONST_NA))</f>
        <v>n.a.</v>
      </c>
      <c r="X91" s="102" t="b">
        <f>IF(M88="",FALSE,M88&lt;&gt;INDEX(CONST_MeasuredOrDefault,2))</f>
        <v>0</v>
      </c>
    </row>
    <row r="92" spans="2:24" ht="12.75" customHeight="1" thickBot="1" x14ac:dyDescent="0.3">
      <c r="C92" s="208"/>
      <c r="D92" s="209"/>
      <c r="E92" s="210"/>
      <c r="F92" s="211"/>
      <c r="G92" s="211"/>
      <c r="H92" s="211"/>
      <c r="I92" s="211"/>
      <c r="J92" s="211"/>
      <c r="K92" s="211"/>
      <c r="L92" s="211"/>
      <c r="M92" s="211"/>
      <c r="N92" s="212"/>
      <c r="T92" s="128"/>
    </row>
    <row r="93" spans="2:24" ht="12.75" customHeight="1" thickBot="1" x14ac:dyDescent="0.3">
      <c r="T93" s="128"/>
    </row>
    <row r="94" spans="2:24" ht="12.75" customHeight="1" thickBot="1" x14ac:dyDescent="0.3">
      <c r="B94" s="150"/>
      <c r="C94" s="150"/>
      <c r="D94" s="150"/>
      <c r="E94" s="150"/>
      <c r="F94" s="150"/>
      <c r="G94" s="150"/>
      <c r="H94" s="150"/>
      <c r="I94" s="150"/>
      <c r="J94" s="150"/>
      <c r="K94" s="150"/>
      <c r="L94" s="150"/>
      <c r="M94" s="150"/>
      <c r="N94" s="150"/>
      <c r="O94" s="150"/>
      <c r="T94" s="128"/>
    </row>
    <row r="95" spans="2:24" ht="18" customHeight="1" thickBot="1" x14ac:dyDescent="0.3">
      <c r="C95" s="152">
        <f>C53+1</f>
        <v>3</v>
      </c>
      <c r="D95" s="153" t="str">
        <f>CONST_PurchPrecursor &amp; " " &amp; C95 &amp; ":"</f>
        <v>Purchased precursor 3:</v>
      </c>
      <c r="G95" s="1191" t="str">
        <f>IF(INDEX(CNTR_List_ExistPurchPrecNames,MATCH(R95,CNTR_ListPurchPrecID,0))=CONST_NA,"",INDEX(CNTR_List_ExistPurchPrecNames,MATCH(R95,CNTR_ListPurchPrecID,0)))</f>
        <v/>
      </c>
      <c r="H95" s="1192"/>
      <c r="I95" s="1192"/>
      <c r="J95" s="1192"/>
      <c r="K95" s="1193"/>
      <c r="L95" s="1194" t="str">
        <f>IF(INDEX(CNTR_List_ExistPurchPrec,MATCH(R95,CNTR_ListPurchPrecID,0))=CONST_NA,"",INDEX(CNTR_List_ExistPurchPrec,MATCH(R95,CNTR_ListPurchPrecID,0)))</f>
        <v/>
      </c>
      <c r="M95" s="1195"/>
      <c r="N95" s="1196"/>
      <c r="R95" s="154" t="str">
        <f>INDEX(CNTR_ListPurchPrecID,C95)</f>
        <v>PP3</v>
      </c>
      <c r="T95" s="128"/>
      <c r="W95" s="104" t="s">
        <v>1330</v>
      </c>
      <c r="X95" s="155" t="b">
        <f>AND(CNTR_HasEntriesA,G95="")</f>
        <v>0</v>
      </c>
    </row>
    <row r="96" spans="2:24" ht="12.75" customHeight="1" x14ac:dyDescent="0.25">
      <c r="D96" s="103"/>
      <c r="E96" s="98"/>
      <c r="T96" s="128"/>
      <c r="W96" s="104"/>
    </row>
    <row r="97" spans="4:24" ht="12.75" customHeight="1" x14ac:dyDescent="0.25">
      <c r="D97" s="120" t="s">
        <v>1331</v>
      </c>
      <c r="E97" s="98" t="str">
        <f>Translations!$B$276</f>
        <v>Total purchased levels:</v>
      </c>
      <c r="H97" s="156" t="str">
        <f>Translations!$B$244</f>
        <v>Production route</v>
      </c>
      <c r="K97" s="157" t="str">
        <f>Translations!$B$221</f>
        <v>Unit</v>
      </c>
      <c r="L97" s="157" t="str">
        <f>Translations!$B$245</f>
        <v>Amounts</v>
      </c>
      <c r="T97" s="128"/>
    </row>
    <row r="98" spans="4:24" ht="12.75" customHeight="1" x14ac:dyDescent="0.25">
      <c r="D98" s="174">
        <v>1</v>
      </c>
      <c r="E98" s="158" t="str">
        <f>IF(G95="","",G95) &amp; IF(L95="",""," | " &amp; L95)</f>
        <v/>
      </c>
      <c r="F98" s="158"/>
      <c r="G98" s="158"/>
      <c r="H98" s="159" t="str">
        <f>IF(L95="","",INDEX(CONST_MATRIX_ProductionRoute,MATCH(L95,CONST_LIST_Goods,0),D98))</f>
        <v/>
      </c>
      <c r="I98" s="158"/>
      <c r="J98" s="158"/>
      <c r="K98" s="160" t="str">
        <f>IF(L95="","",INDEX(CONST_LIST_GoodsUnit,MATCH(L95,CONST_LIST_Goods,0)))</f>
        <v/>
      </c>
      <c r="L98" s="33"/>
      <c r="S98" s="105">
        <v>1</v>
      </c>
      <c r="T98" s="869"/>
    </row>
    <row r="99" spans="4:24" ht="12.75" customHeight="1" x14ac:dyDescent="0.25">
      <c r="D99" s="174">
        <v>2</v>
      </c>
      <c r="E99" s="163" t="str">
        <f t="shared" ref="E99:E105" si="10">IF(H99=CONST_NA,"",E98)</f>
        <v/>
      </c>
      <c r="F99" s="163"/>
      <c r="G99" s="163"/>
      <c r="H99" s="164" t="str">
        <f>IF(L95="","",INDEX(CONST_MATRIX_ProductionRoute,MATCH(L95,CONST_LIST_Goods,0),D99))</f>
        <v/>
      </c>
      <c r="I99" s="163"/>
      <c r="J99" s="163"/>
      <c r="K99" s="165" t="str">
        <f t="shared" ref="K99:K105" si="11">IF(H99=CONST_NA,"",K98)</f>
        <v/>
      </c>
      <c r="L99" s="34"/>
      <c r="S99" s="105">
        <v>2</v>
      </c>
      <c r="T99" s="869"/>
    </row>
    <row r="100" spans="4:24" ht="12.75" customHeight="1" x14ac:dyDescent="0.25">
      <c r="D100" s="174">
        <v>3</v>
      </c>
      <c r="E100" s="163" t="str">
        <f t="shared" si="10"/>
        <v/>
      </c>
      <c r="F100" s="163"/>
      <c r="G100" s="163"/>
      <c r="H100" s="164" t="str">
        <f>IF(L95="","",INDEX(CONST_MATRIX_ProductionRoute,MATCH(L95,CONST_LIST_Goods,0),D100))</f>
        <v/>
      </c>
      <c r="I100" s="163"/>
      <c r="J100" s="163"/>
      <c r="K100" s="165" t="str">
        <f t="shared" si="11"/>
        <v/>
      </c>
      <c r="L100" s="34"/>
      <c r="S100" s="105">
        <v>3</v>
      </c>
      <c r="T100" s="869"/>
    </row>
    <row r="101" spans="4:24" ht="12.75" customHeight="1" x14ac:dyDescent="0.25">
      <c r="D101" s="174">
        <v>4</v>
      </c>
      <c r="E101" s="163" t="str">
        <f t="shared" si="10"/>
        <v/>
      </c>
      <c r="F101" s="163"/>
      <c r="G101" s="163"/>
      <c r="H101" s="164" t="str">
        <f>IF(L95="","",INDEX(CONST_MATRIX_ProductionRoute,MATCH(L95,CONST_LIST_Goods,0),D101))</f>
        <v/>
      </c>
      <c r="I101" s="163"/>
      <c r="J101" s="163"/>
      <c r="K101" s="165" t="str">
        <f t="shared" si="11"/>
        <v/>
      </c>
      <c r="L101" s="34"/>
      <c r="S101" s="105">
        <v>4</v>
      </c>
      <c r="T101" s="869"/>
    </row>
    <row r="102" spans="4:24" ht="12.75" customHeight="1" x14ac:dyDescent="0.25">
      <c r="D102" s="174">
        <v>5</v>
      </c>
      <c r="E102" s="163" t="str">
        <f t="shared" si="10"/>
        <v/>
      </c>
      <c r="F102" s="163"/>
      <c r="G102" s="163"/>
      <c r="H102" s="164" t="str">
        <f>IF(L95="","",INDEX(CONST_MATRIX_ProductionRoute,MATCH(L95,CONST_LIST_Goods,0),D102))</f>
        <v/>
      </c>
      <c r="I102" s="163"/>
      <c r="J102" s="163"/>
      <c r="K102" s="165" t="str">
        <f t="shared" si="11"/>
        <v/>
      </c>
      <c r="L102" s="34"/>
      <c r="S102" s="105">
        <v>5</v>
      </c>
      <c r="T102" s="869"/>
    </row>
    <row r="103" spans="4:24" ht="12.75" customHeight="1" x14ac:dyDescent="0.25">
      <c r="D103" s="174">
        <v>6</v>
      </c>
      <c r="E103" s="163" t="str">
        <f t="shared" si="10"/>
        <v/>
      </c>
      <c r="F103" s="163"/>
      <c r="G103" s="163"/>
      <c r="H103" s="164" t="str">
        <f>IF(L95="","",INDEX(CONST_MATRIX_ProductionRoute,MATCH(L95,CONST_LIST_Goods,0),D103))</f>
        <v/>
      </c>
      <c r="I103" s="163"/>
      <c r="J103" s="163"/>
      <c r="K103" s="165" t="str">
        <f t="shared" si="11"/>
        <v/>
      </c>
      <c r="L103" s="34"/>
      <c r="S103" s="105">
        <v>6</v>
      </c>
      <c r="T103" s="869"/>
    </row>
    <row r="104" spans="4:24" ht="12.75" customHeight="1" x14ac:dyDescent="0.25">
      <c r="D104" s="174">
        <v>7</v>
      </c>
      <c r="E104" s="163" t="str">
        <f t="shared" si="10"/>
        <v/>
      </c>
      <c r="F104" s="163"/>
      <c r="G104" s="163"/>
      <c r="H104" s="164" t="str">
        <f>IF(L95="","",INDEX(CONST_MATRIX_ProductionRoute,MATCH(L95,CONST_LIST_Goods,0),D104))</f>
        <v/>
      </c>
      <c r="I104" s="163"/>
      <c r="J104" s="163"/>
      <c r="K104" s="165" t="str">
        <f t="shared" si="11"/>
        <v/>
      </c>
      <c r="L104" s="34"/>
      <c r="S104" s="105">
        <v>7</v>
      </c>
      <c r="T104" s="869"/>
    </row>
    <row r="105" spans="4:24" ht="12.75" customHeight="1" x14ac:dyDescent="0.25">
      <c r="D105" s="174">
        <v>8</v>
      </c>
      <c r="E105" s="166" t="str">
        <f t="shared" si="10"/>
        <v/>
      </c>
      <c r="F105" s="166"/>
      <c r="G105" s="166"/>
      <c r="H105" s="167" t="str">
        <f>IF(L95="","",INDEX(CONST_MATRIX_ProductionRoute,MATCH(L95,CONST_LIST_Goods,0),D105))</f>
        <v/>
      </c>
      <c r="I105" s="166"/>
      <c r="J105" s="166"/>
      <c r="K105" s="168" t="str">
        <f t="shared" si="11"/>
        <v/>
      </c>
      <c r="L105" s="35"/>
      <c r="S105" s="105">
        <v>8</v>
      </c>
      <c r="T105" s="869"/>
    </row>
    <row r="106" spans="4:24" ht="12.75" customHeight="1" x14ac:dyDescent="0.25">
      <c r="D106" s="103"/>
      <c r="E106" s="143" t="str">
        <f>Translations!$B$277</f>
        <v>Total consumption within installation:</v>
      </c>
      <c r="F106" s="143"/>
      <c r="G106" s="143"/>
      <c r="H106" s="169"/>
      <c r="I106" s="143"/>
      <c r="J106" s="143"/>
      <c r="K106" s="171" t="str">
        <f>K98</f>
        <v/>
      </c>
      <c r="L106" s="394" t="str">
        <f>IF(G95="","",SUM(L98:L105))</f>
        <v/>
      </c>
      <c r="R106" s="102" t="str">
        <f>CONST_CNTR_TotProd&amp;G95</f>
        <v>TotProd_</v>
      </c>
      <c r="T106" s="218" t="str">
        <f>IF(G95="","",IF(SUM(L106)=0,100,L106))</f>
        <v/>
      </c>
    </row>
    <row r="107" spans="4:24" ht="5.0999999999999996" customHeight="1" x14ac:dyDescent="0.25">
      <c r="D107" s="137"/>
      <c r="E107" s="98"/>
      <c r="T107" s="128"/>
    </row>
    <row r="108" spans="4:24" ht="12.75" customHeight="1" x14ac:dyDescent="0.25">
      <c r="D108" s="120" t="s">
        <v>1253</v>
      </c>
      <c r="E108" s="98" t="str">
        <f>Translations!$B$278</f>
        <v>Consumed in "production processes" within the installation:</v>
      </c>
      <c r="F108" s="98"/>
      <c r="G108" s="98"/>
      <c r="H108" s="98"/>
      <c r="I108" s="98"/>
      <c r="J108" s="98"/>
      <c r="K108" s="120" t="str">
        <f>Translations!$B$221</f>
        <v>Unit</v>
      </c>
      <c r="L108" s="120" t="str">
        <f>Translations!$B$245</f>
        <v>Amounts</v>
      </c>
      <c r="S108" s="126" t="s">
        <v>1332</v>
      </c>
      <c r="T108" s="128"/>
    </row>
    <row r="109" spans="4:24" ht="12.75" customHeight="1" x14ac:dyDescent="0.25">
      <c r="D109" s="174">
        <v>1</v>
      </c>
      <c r="E109" s="175" t="str">
        <f t="shared" ref="E109:E118" si="12">IF(INDEX(CNTR_List_ExistProdProcNames,S109)=CONST_NA,"",INDEX(CNTR_List_ExistProdProcNames,S109))</f>
        <v/>
      </c>
      <c r="F109" s="176"/>
      <c r="G109" s="176"/>
      <c r="H109" s="176"/>
      <c r="I109" s="176"/>
      <c r="J109" s="177"/>
      <c r="K109" s="160" t="str">
        <f>IF(E109="","",K106)</f>
        <v/>
      </c>
      <c r="L109" s="28"/>
      <c r="O109" s="161"/>
      <c r="R109" s="102" t="str">
        <f>CONST_PrecursorToGoodInput&amp;G95 &amp;"_"&amp;E109</f>
        <v>PrecToGood__</v>
      </c>
      <c r="S109" s="105">
        <f>D109</f>
        <v>1</v>
      </c>
      <c r="T109" s="127" t="str">
        <f>IF(G95="","",L109)</f>
        <v/>
      </c>
      <c r="V109" s="162" t="str">
        <f>IF(AND(G95&lt;&gt;"",E109&lt;&gt;"",L109&lt;&gt;""),TRUE,IF(AND(G95&lt;&gt;"",E109&lt;&gt;"",L109="",X109=FALSE),CONST_ErrorOrMissing&amp;C95,CONST_NA))</f>
        <v>n.a.</v>
      </c>
      <c r="W109" s="89" t="s">
        <v>1333</v>
      </c>
      <c r="X109" s="102" t="b">
        <f>IF(G95="",FALSE,E109="")</f>
        <v>0</v>
      </c>
    </row>
    <row r="110" spans="4:24" ht="12.75" customHeight="1" x14ac:dyDescent="0.25">
      <c r="D110" s="174">
        <v>2</v>
      </c>
      <c r="E110" s="178" t="str">
        <f t="shared" si="12"/>
        <v/>
      </c>
      <c r="F110" s="179"/>
      <c r="G110" s="179"/>
      <c r="H110" s="179"/>
      <c r="I110" s="179"/>
      <c r="J110" s="180"/>
      <c r="K110" s="165" t="str">
        <f>IF(E110="","",K109)</f>
        <v/>
      </c>
      <c r="L110" s="29"/>
      <c r="O110" s="161"/>
      <c r="R110" s="102" t="str">
        <f>CONST_PrecursorToGoodInput&amp;G95 &amp;"_"&amp;E110</f>
        <v>PrecToGood__</v>
      </c>
      <c r="S110" s="105">
        <f t="shared" ref="S110:S118" si="13">D110</f>
        <v>2</v>
      </c>
      <c r="T110" s="127" t="str">
        <f>IF(G95="","",L110)</f>
        <v/>
      </c>
      <c r="V110" s="162" t="str">
        <f>IF(AND(G95&lt;&gt;"",E110&lt;&gt;"",L110&lt;&gt;""),TRUE,IF(AND(G95&lt;&gt;"",E110&lt;&gt;"",L110="",X110=FALSE),CONST_ErrorOrMissing&amp;C95,CONST_NA))</f>
        <v>n.a.</v>
      </c>
      <c r="X110" s="102" t="b">
        <f>IF(G95="",FALSE,E110="")</f>
        <v>0</v>
      </c>
    </row>
    <row r="111" spans="4:24" ht="12.75" customHeight="1" x14ac:dyDescent="0.25">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PrecToGood__</v>
      </c>
      <c r="S111" s="105">
        <f t="shared" si="13"/>
        <v>3</v>
      </c>
      <c r="T111" s="127" t="str">
        <f>IF(G95="","",L111)</f>
        <v/>
      </c>
      <c r="V111" s="162" t="str">
        <f>IF(AND(G95&lt;&gt;"",E111&lt;&gt;"",L111&lt;&gt;""),TRUE,IF(AND(G95&lt;&gt;"",E111&lt;&gt;"",L111="",X111=FALSE),CONST_ErrorOrMissing&amp;C95,CONST_NA))</f>
        <v>n.a.</v>
      </c>
      <c r="X111" s="102" t="b">
        <f>IF(G95="",FALSE,E111="")</f>
        <v>0</v>
      </c>
    </row>
    <row r="112" spans="4:24" ht="12.75" customHeight="1" x14ac:dyDescent="0.25">
      <c r="D112" s="174">
        <v>4</v>
      </c>
      <c r="E112" s="178" t="str">
        <f t="shared" si="12"/>
        <v/>
      </c>
      <c r="F112" s="179"/>
      <c r="G112" s="179"/>
      <c r="H112" s="179"/>
      <c r="I112" s="179"/>
      <c r="J112" s="180"/>
      <c r="K112" s="165" t="str">
        <f t="shared" si="14"/>
        <v/>
      </c>
      <c r="L112" s="29"/>
      <c r="O112" s="161"/>
      <c r="R112" s="102" t="str">
        <f>CONST_PrecursorToGoodInput&amp;G95 &amp;"_"&amp;E112</f>
        <v>PrecToGood__</v>
      </c>
      <c r="S112" s="105">
        <f t="shared" si="13"/>
        <v>4</v>
      </c>
      <c r="T112" s="127" t="str">
        <f>IF(G95="","",L112)</f>
        <v/>
      </c>
      <c r="V112" s="162" t="str">
        <f>IF(AND(G95&lt;&gt;"",E112&lt;&gt;"",L112&lt;&gt;""),TRUE,IF(AND(G95&lt;&gt;"",E112&lt;&gt;"",L112="",X112=FALSE),CONST_ErrorOrMissing&amp;C95,CONST_NA))</f>
        <v>n.a.</v>
      </c>
      <c r="X112" s="102" t="b">
        <f>IF(G95="",FALSE,E112="")</f>
        <v>0</v>
      </c>
    </row>
    <row r="113" spans="3:24" ht="12.75" customHeight="1" x14ac:dyDescent="0.25">
      <c r="D113" s="174">
        <v>5</v>
      </c>
      <c r="E113" s="181" t="str">
        <f t="shared" si="12"/>
        <v/>
      </c>
      <c r="F113" s="182"/>
      <c r="G113" s="182"/>
      <c r="H113" s="182"/>
      <c r="I113" s="182"/>
      <c r="J113" s="183"/>
      <c r="K113" s="184" t="str">
        <f t="shared" si="14"/>
        <v/>
      </c>
      <c r="L113" s="214"/>
      <c r="O113" s="161"/>
      <c r="R113" s="102" t="str">
        <f>CONST_PrecursorToGoodInput&amp;G95 &amp;"_"&amp;E113</f>
        <v>PrecToGood__</v>
      </c>
      <c r="S113" s="105">
        <f t="shared" si="13"/>
        <v>5</v>
      </c>
      <c r="T113" s="127" t="str">
        <f>IF(G95="","",L113)</f>
        <v/>
      </c>
      <c r="V113" s="162" t="str">
        <f>IF(AND(G95&lt;&gt;"",E113&lt;&gt;"",L113&lt;&gt;""),TRUE,IF(AND(G95&lt;&gt;"",E113&lt;&gt;"",L113="",X113=FALSE),CONST_ErrorOrMissing&amp;C95,CONST_NA))</f>
        <v>n.a.</v>
      </c>
      <c r="X113" s="102" t="b">
        <f>IF(G95="",FALSE,E113="")</f>
        <v>0</v>
      </c>
    </row>
    <row r="114" spans="3:24" ht="12.75" customHeight="1" x14ac:dyDescent="0.25">
      <c r="D114" s="174">
        <v>6</v>
      </c>
      <c r="E114" s="181" t="str">
        <f t="shared" si="12"/>
        <v/>
      </c>
      <c r="F114" s="182"/>
      <c r="G114" s="182"/>
      <c r="H114" s="182"/>
      <c r="I114" s="182"/>
      <c r="J114" s="183"/>
      <c r="K114" s="184" t="str">
        <f t="shared" si="14"/>
        <v/>
      </c>
      <c r="L114" s="214"/>
      <c r="O114" s="161"/>
      <c r="R114" s="102" t="str">
        <f>CONST_PrecursorToGoodInput&amp;G95 &amp;"_"&amp;E114</f>
        <v>PrecToGood__</v>
      </c>
      <c r="S114" s="105">
        <f t="shared" si="13"/>
        <v>6</v>
      </c>
      <c r="T114" s="127" t="str">
        <f>IF(G95="","",L114)</f>
        <v/>
      </c>
      <c r="V114" s="162" t="str">
        <f>IF(AND(G95&lt;&gt;"",E114&lt;&gt;"",L114&lt;&gt;""),TRUE,IF(AND(G95&lt;&gt;"",E114&lt;&gt;"",L114="",X114=FALSE),CONST_ErrorOrMissing&amp;C95,CONST_NA))</f>
        <v>n.a.</v>
      </c>
      <c r="X114" s="102" t="b">
        <f>IF(G95="",FALSE,E114="")</f>
        <v>0</v>
      </c>
    </row>
    <row r="115" spans="3:24" ht="12.75" customHeight="1" x14ac:dyDescent="0.25">
      <c r="D115" s="174">
        <v>7</v>
      </c>
      <c r="E115" s="181" t="str">
        <f t="shared" si="12"/>
        <v/>
      </c>
      <c r="F115" s="182"/>
      <c r="G115" s="182"/>
      <c r="H115" s="182"/>
      <c r="I115" s="182"/>
      <c r="J115" s="183"/>
      <c r="K115" s="184" t="str">
        <f t="shared" si="14"/>
        <v/>
      </c>
      <c r="L115" s="214"/>
      <c r="O115" s="161"/>
      <c r="R115" s="102" t="str">
        <f>CONST_PrecursorToGoodInput&amp;G95 &amp;"_"&amp;E115</f>
        <v>PrecToGood__</v>
      </c>
      <c r="S115" s="105">
        <f t="shared" si="13"/>
        <v>7</v>
      </c>
      <c r="T115" s="127" t="str">
        <f>IF(G95="","",L115)</f>
        <v/>
      </c>
      <c r="V115" s="162" t="str">
        <f>IF(AND(G95&lt;&gt;"",E115&lt;&gt;"",L115&lt;&gt;""),TRUE,IF(AND(G95&lt;&gt;"",E115&lt;&gt;"",L115="",X115=FALSE),CONST_ErrorOrMissing&amp;C95,CONST_NA))</f>
        <v>n.a.</v>
      </c>
      <c r="X115" s="102" t="b">
        <f>IF(G95="",FALSE,E115="")</f>
        <v>0</v>
      </c>
    </row>
    <row r="116" spans="3:24" ht="12.75" customHeight="1" x14ac:dyDescent="0.25">
      <c r="D116" s="174">
        <v>8</v>
      </c>
      <c r="E116" s="181" t="str">
        <f t="shared" si="12"/>
        <v/>
      </c>
      <c r="F116" s="182"/>
      <c r="G116" s="182"/>
      <c r="H116" s="182"/>
      <c r="I116" s="182"/>
      <c r="J116" s="183"/>
      <c r="K116" s="184" t="str">
        <f t="shared" si="14"/>
        <v/>
      </c>
      <c r="L116" s="214"/>
      <c r="O116" s="161"/>
      <c r="R116" s="102" t="str">
        <f>CONST_PrecursorToGoodInput&amp;G95 &amp;"_"&amp;E116</f>
        <v>PrecToGood__</v>
      </c>
      <c r="S116" s="105">
        <f t="shared" si="13"/>
        <v>8</v>
      </c>
      <c r="T116" s="127" t="str">
        <f>IF(G95="","",L116)</f>
        <v/>
      </c>
      <c r="V116" s="162" t="str">
        <f>IF(AND(G95&lt;&gt;"",E116&lt;&gt;"",L116&lt;&gt;""),TRUE,IF(AND(G95&lt;&gt;"",E116&lt;&gt;"",L116="",X116=FALSE),CONST_ErrorOrMissing&amp;C95,CONST_NA))</f>
        <v>n.a.</v>
      </c>
      <c r="X116" s="102" t="b">
        <f>IF(G95="",FALSE,E116="")</f>
        <v>0</v>
      </c>
    </row>
    <row r="117" spans="3:24" ht="12.75" customHeight="1" x14ac:dyDescent="0.25">
      <c r="D117" s="174">
        <v>9</v>
      </c>
      <c r="E117" s="181" t="str">
        <f t="shared" si="12"/>
        <v/>
      </c>
      <c r="F117" s="182"/>
      <c r="G117" s="182"/>
      <c r="H117" s="182"/>
      <c r="I117" s="182"/>
      <c r="J117" s="183"/>
      <c r="K117" s="184" t="str">
        <f t="shared" si="14"/>
        <v/>
      </c>
      <c r="L117" s="214"/>
      <c r="O117" s="161"/>
      <c r="R117" s="102" t="str">
        <f>CONST_PrecursorToGoodInput&amp;G95 &amp;"_"&amp;E117</f>
        <v>PrecToGood__</v>
      </c>
      <c r="S117" s="105">
        <f t="shared" si="13"/>
        <v>9</v>
      </c>
      <c r="T117" s="127" t="str">
        <f>IF(G95="","",L117)</f>
        <v/>
      </c>
      <c r="V117" s="162" t="str">
        <f>IF(AND(G95&lt;&gt;"",E117&lt;&gt;"",L117&lt;&gt;""),TRUE,IF(AND(G95&lt;&gt;"",E117&lt;&gt;"",L117="",X117=FALSE),CONST_ErrorOrMissing&amp;C95,CONST_NA))</f>
        <v>n.a.</v>
      </c>
      <c r="X117" s="102" t="b">
        <f>IF(G95="",FALSE,E117="")</f>
        <v>0</v>
      </c>
    </row>
    <row r="118" spans="3:24" ht="12.75" customHeight="1" x14ac:dyDescent="0.25">
      <c r="D118" s="174">
        <v>10</v>
      </c>
      <c r="E118" s="185" t="str">
        <f t="shared" si="12"/>
        <v/>
      </c>
      <c r="F118" s="186"/>
      <c r="G118" s="186"/>
      <c r="H118" s="186"/>
      <c r="I118" s="186"/>
      <c r="J118" s="187"/>
      <c r="K118" s="168" t="str">
        <f t="shared" si="14"/>
        <v/>
      </c>
      <c r="L118" s="30"/>
      <c r="O118" s="161"/>
      <c r="R118" s="102" t="str">
        <f>CONST_PrecursorToGoodInput&amp;G95 &amp;"_"&amp;E118</f>
        <v>PrecToGood__</v>
      </c>
      <c r="S118" s="105">
        <f t="shared" si="13"/>
        <v>10</v>
      </c>
      <c r="T118" s="127" t="str">
        <f>IF(G95="","",L118)</f>
        <v/>
      </c>
      <c r="V118" s="162" t="str">
        <f>IF(AND(G95&lt;&gt;"",E118&lt;&gt;"",L118&lt;&gt;""),TRUE,IF(AND(G95&lt;&gt;"",E118&lt;&gt;"",L118="",X118=FALSE),CONST_ErrorOrMissing&amp;C95,CONST_NA))</f>
        <v>n.a.</v>
      </c>
      <c r="X118" s="102" t="b">
        <f>IF(G95="",FALSE,E118="")</f>
        <v>0</v>
      </c>
    </row>
    <row r="119" spans="3:24" ht="12.75" customHeight="1" x14ac:dyDescent="0.25">
      <c r="D119" s="120" t="s">
        <v>1254</v>
      </c>
      <c r="E119" s="98" t="str">
        <f>Translations!$B$252</f>
        <v>Consumed for non-CBAM goods within the installation:</v>
      </c>
      <c r="F119" s="98"/>
      <c r="G119" s="98"/>
      <c r="H119" s="98"/>
      <c r="I119" s="98"/>
      <c r="J119" s="98"/>
      <c r="K119" s="171" t="str">
        <f>K106</f>
        <v/>
      </c>
      <c r="L119" s="220"/>
      <c r="T119" s="128"/>
    </row>
    <row r="120" spans="3:24" ht="12.75" customHeight="1" x14ac:dyDescent="0.25">
      <c r="D120" s="120" t="s">
        <v>1334</v>
      </c>
      <c r="E120" s="143" t="str">
        <f>Translations!$B$253</f>
        <v>Control:</v>
      </c>
      <c r="F120" s="172"/>
      <c r="G120" s="172"/>
      <c r="H120" s="172"/>
      <c r="I120" s="172"/>
      <c r="J120" s="172"/>
      <c r="K120" s="171" t="str">
        <f>K119</f>
        <v/>
      </c>
      <c r="L120" s="121" t="str">
        <f>IF(G95="","",SUM(L106)-SUM(L109:L119))</f>
        <v/>
      </c>
      <c r="T120" s="128"/>
    </row>
    <row r="121" spans="3:24" ht="12.75" customHeight="1" thickBot="1" x14ac:dyDescent="0.3">
      <c r="T121" s="128"/>
    </row>
    <row r="122" spans="3:24" ht="12.75" customHeight="1" x14ac:dyDescent="0.25">
      <c r="C122" s="188"/>
      <c r="D122" s="189"/>
      <c r="E122" s="190"/>
      <c r="F122" s="191"/>
      <c r="G122" s="191"/>
      <c r="H122" s="191"/>
      <c r="I122" s="191"/>
      <c r="J122" s="191"/>
      <c r="K122" s="191"/>
      <c r="L122" s="191"/>
      <c r="M122" s="191"/>
      <c r="N122" s="192"/>
      <c r="T122" s="128"/>
    </row>
    <row r="123" spans="3:24" ht="15" customHeight="1" x14ac:dyDescent="0.25">
      <c r="C123" s="193"/>
      <c r="D123" s="194" t="str">
        <f>Translations!$B$279</f>
        <v>Specific embedded emissions:</v>
      </c>
      <c r="E123" s="195"/>
      <c r="F123" s="196"/>
      <c r="G123" s="196"/>
      <c r="H123" s="196"/>
      <c r="I123" s="196"/>
      <c r="J123" s="1201" t="str">
        <f>IF(G95="","",G95)</f>
        <v/>
      </c>
      <c r="K123" s="1201"/>
      <c r="L123" s="1201"/>
      <c r="M123" s="1201"/>
      <c r="N123" s="197"/>
      <c r="T123" s="128"/>
    </row>
    <row r="124" spans="3:24" ht="5.0999999999999996" customHeight="1" x14ac:dyDescent="0.25">
      <c r="C124" s="193"/>
      <c r="D124" s="198"/>
      <c r="E124" s="199"/>
      <c r="F124" s="196"/>
      <c r="G124" s="196"/>
      <c r="H124" s="196"/>
      <c r="I124" s="196"/>
      <c r="J124" s="196"/>
      <c r="K124" s="196"/>
      <c r="L124" s="196"/>
      <c r="M124" s="196"/>
      <c r="N124" s="197"/>
      <c r="T124" s="128"/>
    </row>
    <row r="125" spans="3:24" ht="12.75" customHeight="1" x14ac:dyDescent="0.25">
      <c r="C125" s="193"/>
      <c r="D125" s="200" t="s">
        <v>1335</v>
      </c>
      <c r="E125" s="199" t="str">
        <f>Translations!$B$280</f>
        <v>Emissions embedded in this purchased precursor</v>
      </c>
      <c r="F125" s="199"/>
      <c r="G125" s="199"/>
      <c r="H125" s="199"/>
      <c r="I125" s="199"/>
      <c r="J125" s="199"/>
      <c r="K125" s="199"/>
      <c r="L125" s="199"/>
      <c r="M125" s="199"/>
      <c r="N125" s="197"/>
      <c r="T125" s="128"/>
      <c r="V125" s="173"/>
    </row>
    <row r="126" spans="3:24" ht="12.75" customHeight="1" x14ac:dyDescent="0.25">
      <c r="C126" s="193"/>
      <c r="D126" s="200"/>
      <c r="E126" s="1202" t="str">
        <f>Translations!$B$281</f>
        <v>Please enter here the values and sources for the specific embedded direct and indirect emissions, as obtained from the supplier.</v>
      </c>
      <c r="F126" s="1202"/>
      <c r="G126" s="1202"/>
      <c r="H126" s="1202"/>
      <c r="I126" s="1202"/>
      <c r="J126" s="1202"/>
      <c r="K126" s="1202"/>
      <c r="L126" s="1202"/>
      <c r="M126" s="1202"/>
      <c r="N126" s="392"/>
      <c r="T126" s="128"/>
    </row>
    <row r="127" spans="3:24" ht="12.75" customHeight="1" x14ac:dyDescent="0.25">
      <c r="C127" s="193"/>
      <c r="D127" s="200"/>
      <c r="E127" s="1202" t="str">
        <f>Translations!$B$282</f>
        <v>For the SEE (direct), the 'Type of value' relates to whether the direct emissions are measured, or whether a default value provided by the European Commission was applied.</v>
      </c>
      <c r="F127" s="1202"/>
      <c r="G127" s="1202"/>
      <c r="H127" s="1202"/>
      <c r="I127" s="1202"/>
      <c r="J127" s="1202"/>
      <c r="K127" s="1202"/>
      <c r="L127" s="1202"/>
      <c r="M127" s="1202"/>
      <c r="N127" s="392"/>
      <c r="T127" s="128"/>
    </row>
    <row r="128" spans="3:24" ht="12.75" customHeight="1" x14ac:dyDescent="0.25">
      <c r="C128" s="193"/>
      <c r="D128" s="200"/>
      <c r="E128" s="1202" t="str">
        <f>Translations!$B$283</f>
        <v>In order to obtain these data and information, you may want to ask your supplier to fill in an empty copy of this communication template.</v>
      </c>
      <c r="F128" s="1202"/>
      <c r="G128" s="1202"/>
      <c r="H128" s="1202"/>
      <c r="I128" s="1202"/>
      <c r="J128" s="1202"/>
      <c r="K128" s="1202"/>
      <c r="L128" s="1202"/>
      <c r="M128" s="1202"/>
      <c r="N128" s="392"/>
      <c r="T128" s="128"/>
    </row>
    <row r="129" spans="2:24" ht="12.75" customHeight="1" x14ac:dyDescent="0.25">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x14ac:dyDescent="0.25">
      <c r="C130" s="193"/>
      <c r="D130" s="198" t="s">
        <v>1238</v>
      </c>
      <c r="E130" s="202" t="str">
        <f>Translations!$B$286</f>
        <v>Specific embedded direct emissions (SEE (direct) )</v>
      </c>
      <c r="F130" s="202"/>
      <c r="G130" s="202"/>
      <c r="H130" s="202"/>
      <c r="I130" s="202"/>
      <c r="J130" s="202"/>
      <c r="K130" s="219" t="str">
        <f>IF(L95="","",CONST_tCO2eq &amp; "/" &amp; K106)</f>
        <v/>
      </c>
      <c r="L130" s="217"/>
      <c r="M130" s="393"/>
      <c r="N130" s="197"/>
      <c r="O130" s="161"/>
      <c r="R130" s="102" t="str">
        <f>CONST_PurchPrecDefaultUsed&amp;G95</f>
        <v>PurchPrecDef_</v>
      </c>
      <c r="S130" s="102" t="str">
        <f>CONST_CNTR_EmbedEmDir&amp;G95</f>
        <v>EmbedEmDir_</v>
      </c>
      <c r="T130" s="127" t="str">
        <f>IF(G95="","",SUM(T106)*SUM(L130))</f>
        <v/>
      </c>
      <c r="U130" s="105" t="str">
        <f>IF(G95="","",IF(M130="",CONST_ERR_Incomplete,MATCH(M130,CONST_MeasuredOrDefault,0)=2))</f>
        <v/>
      </c>
      <c r="V130" s="162" t="str">
        <f>IF(AND(G95&lt;&gt;"",COUNTA(L130:M130)=2),TRUE,IF(AND(G95&lt;&gt;"",COUNTA(L130:M130)&lt;2),CONST_ErrorOrMissing&amp;C95,CONST_NA))</f>
        <v>n.a.</v>
      </c>
    </row>
    <row r="131" spans="2:24" x14ac:dyDescent="0.25">
      <c r="C131" s="193"/>
      <c r="D131" s="198" t="s">
        <v>1239</v>
      </c>
      <c r="E131" s="202" t="str">
        <f>Translations!$B$287</f>
        <v>Specific embedded indirect emissions (SEE (indirect) )</v>
      </c>
      <c r="F131" s="202"/>
      <c r="G131" s="202"/>
      <c r="H131" s="202"/>
      <c r="I131" s="202"/>
      <c r="J131" s="202"/>
      <c r="K131" s="219" t="str">
        <f>K130</f>
        <v/>
      </c>
      <c r="L131" s="217"/>
      <c r="M131" s="217"/>
      <c r="N131" s="197"/>
      <c r="O131" s="161"/>
      <c r="R131" s="102" t="str">
        <f>CONST_CNTR_ElecEFMethod&amp;G95</f>
        <v>ElecEFMeth_</v>
      </c>
      <c r="S131" s="102" t="str">
        <f>CONST_CNTR_EmbedEmInDir&amp;G95</f>
        <v>EmbedEmInDir_</v>
      </c>
      <c r="T131" s="127" t="str">
        <f>IF(G95="","",SUM(T106)*SUM(L131))</f>
        <v/>
      </c>
      <c r="U131" s="105" t="str">
        <f>IF(G95="","",M131)</f>
        <v/>
      </c>
      <c r="V131" s="162" t="str">
        <f>IF(AND(G95&lt;&gt;"",COUNTA(L131:M131)=2),TRUE,IF(AND(G95&lt;&gt;"",COUNTA(L131:M131)&lt;2),CONST_ErrorOrMissing&amp;C95,CONST_NA))</f>
        <v>n.a.</v>
      </c>
    </row>
    <row r="132" spans="2:24" ht="5.0999999999999996" customHeight="1" x14ac:dyDescent="0.25">
      <c r="C132" s="193"/>
      <c r="D132" s="198"/>
      <c r="E132" s="196"/>
      <c r="F132" s="196"/>
      <c r="G132" s="196"/>
      <c r="H132" s="196"/>
      <c r="I132" s="196"/>
      <c r="J132" s="196"/>
      <c r="K132" s="196"/>
      <c r="L132" s="196"/>
      <c r="M132" s="196"/>
      <c r="N132" s="197"/>
      <c r="T132" s="128"/>
      <c r="U132" s="126"/>
      <c r="V132" s="173"/>
    </row>
    <row r="133" spans="2:24" ht="12.75" customHeight="1" x14ac:dyDescent="0.25">
      <c r="C133" s="193"/>
      <c r="D133" s="198" t="s">
        <v>1240</v>
      </c>
      <c r="E133" s="202" t="str">
        <f>Translations!$B$1858</f>
        <v>Justification for use of default values (if relevant):</v>
      </c>
      <c r="F133" s="202"/>
      <c r="G133" s="202"/>
      <c r="H133" s="202"/>
      <c r="I133" s="202"/>
      <c r="J133" s="202"/>
      <c r="K133" s="1203"/>
      <c r="L133" s="1203"/>
      <c r="M133" s="1203"/>
      <c r="N133" s="197"/>
      <c r="O133" s="161"/>
      <c r="T133" s="128"/>
      <c r="U133" s="126"/>
      <c r="V133" s="162" t="str">
        <f>IF(AND(G95&lt;&gt;"",X133=FALSE,K133&lt;&gt;""),TRUE,IF(AND(G95&lt;&gt;"",M130&lt;&gt;"",X133=FALSE,K133=""),CONST_ErrorOrMissing&amp;C95,CONST_NA))</f>
        <v>n.a.</v>
      </c>
      <c r="X133" s="102" t="b">
        <f>IF(M130="",FALSE,M130&lt;&gt;INDEX(CONST_MeasuredOrDefault,2))</f>
        <v>0</v>
      </c>
    </row>
    <row r="134" spans="2:24" ht="12.75" customHeight="1" thickBot="1" x14ac:dyDescent="0.3">
      <c r="C134" s="208"/>
      <c r="D134" s="209"/>
      <c r="E134" s="210"/>
      <c r="F134" s="211"/>
      <c r="G134" s="211"/>
      <c r="H134" s="211"/>
      <c r="I134" s="211"/>
      <c r="J134" s="211"/>
      <c r="K134" s="211"/>
      <c r="L134" s="211"/>
      <c r="M134" s="211"/>
      <c r="N134" s="212"/>
      <c r="T134" s="128"/>
    </row>
    <row r="135" spans="2:24" ht="12.75" customHeight="1" thickBot="1" x14ac:dyDescent="0.3">
      <c r="T135" s="128"/>
    </row>
    <row r="136" spans="2:24" ht="12.75" customHeight="1" thickBot="1" x14ac:dyDescent="0.3">
      <c r="B136" s="150"/>
      <c r="C136" s="150"/>
      <c r="D136" s="150"/>
      <c r="E136" s="150"/>
      <c r="F136" s="150"/>
      <c r="G136" s="150"/>
      <c r="H136" s="150"/>
      <c r="I136" s="150"/>
      <c r="J136" s="150"/>
      <c r="K136" s="150"/>
      <c r="L136" s="150"/>
      <c r="M136" s="150"/>
      <c r="N136" s="150"/>
      <c r="O136" s="150"/>
      <c r="T136" s="128"/>
    </row>
    <row r="137" spans="2:24" ht="18" customHeight="1" thickBot="1" x14ac:dyDescent="0.3">
      <c r="C137" s="152">
        <f>C95+1</f>
        <v>4</v>
      </c>
      <c r="D137" s="153" t="str">
        <f>CONST_PurchPrecursor &amp; " " &amp; C137 &amp; ":"</f>
        <v>Purchased precursor 4:</v>
      </c>
      <c r="G137" s="1191" t="str">
        <f>IF(INDEX(CNTR_List_ExistPurchPrecNames,MATCH(R137,CNTR_ListPurchPrecID,0))=CONST_NA,"",INDEX(CNTR_List_ExistPurchPrecNames,MATCH(R137,CNTR_ListPurchPrecID,0)))</f>
        <v/>
      </c>
      <c r="H137" s="1192"/>
      <c r="I137" s="1192"/>
      <c r="J137" s="1192"/>
      <c r="K137" s="1193"/>
      <c r="L137" s="1194" t="str">
        <f>IF(INDEX(CNTR_List_ExistPurchPrec,MATCH(R137,CNTR_ListPurchPrecID,0))=CONST_NA,"",INDEX(CNTR_List_ExistPurchPrec,MATCH(R137,CNTR_ListPurchPrecID,0)))</f>
        <v/>
      </c>
      <c r="M137" s="1195"/>
      <c r="N137" s="1196"/>
      <c r="R137" s="154" t="str">
        <f>INDEX(CNTR_ListPurchPrecID,C137)</f>
        <v>PP4</v>
      </c>
      <c r="T137" s="128"/>
      <c r="W137" s="104" t="s">
        <v>1330</v>
      </c>
      <c r="X137" s="155" t="b">
        <f>AND(CNTR_HasEntriesA,G137="")</f>
        <v>0</v>
      </c>
    </row>
    <row r="138" spans="2:24" ht="12.75" customHeight="1" x14ac:dyDescent="0.25">
      <c r="D138" s="103"/>
      <c r="E138" s="98"/>
      <c r="T138" s="128"/>
      <c r="W138" s="104"/>
    </row>
    <row r="139" spans="2:24" ht="12.75" customHeight="1" x14ac:dyDescent="0.25">
      <c r="D139" s="120" t="s">
        <v>1331</v>
      </c>
      <c r="E139" s="98" t="str">
        <f>Translations!$B$276</f>
        <v>Total purchased levels:</v>
      </c>
      <c r="H139" s="156" t="str">
        <f>Translations!$B$244</f>
        <v>Production route</v>
      </c>
      <c r="K139" s="157" t="str">
        <f>Translations!$B$221</f>
        <v>Unit</v>
      </c>
      <c r="L139" s="157" t="str">
        <f>Translations!$B$245</f>
        <v>Amounts</v>
      </c>
      <c r="T139" s="128"/>
    </row>
    <row r="140" spans="2:24" ht="12.75" customHeight="1" x14ac:dyDescent="0.25">
      <c r="D140" s="174">
        <v>1</v>
      </c>
      <c r="E140" s="158" t="str">
        <f>IF(G137="","",G137) &amp; IF(L137="",""," | " &amp; L137)</f>
        <v/>
      </c>
      <c r="F140" s="158"/>
      <c r="G140" s="158"/>
      <c r="H140" s="159" t="str">
        <f>IF(L137="","",INDEX(CONST_MATRIX_ProductionRoute,MATCH(L137,CONST_LIST_Goods,0),D140))</f>
        <v/>
      </c>
      <c r="I140" s="158"/>
      <c r="J140" s="158"/>
      <c r="K140" s="160" t="str">
        <f>IF(L137="","",INDEX(CONST_LIST_GoodsUnit,MATCH(L137,CONST_LIST_Goods,0)))</f>
        <v/>
      </c>
      <c r="L140" s="33"/>
      <c r="S140" s="105">
        <v>1</v>
      </c>
      <c r="T140" s="869"/>
    </row>
    <row r="141" spans="2:24" ht="12.75" customHeight="1" x14ac:dyDescent="0.25">
      <c r="D141" s="174">
        <v>2</v>
      </c>
      <c r="E141" s="163" t="str">
        <f t="shared" ref="E141:E147" si="15">IF(H141=CONST_NA,"",E140)</f>
        <v/>
      </c>
      <c r="F141" s="163"/>
      <c r="G141" s="163"/>
      <c r="H141" s="164" t="str">
        <f>IF(L137="","",INDEX(CONST_MATRIX_ProductionRoute,MATCH(L137,CONST_LIST_Goods,0),D141))</f>
        <v/>
      </c>
      <c r="I141" s="163"/>
      <c r="J141" s="163"/>
      <c r="K141" s="165" t="str">
        <f t="shared" ref="K141:K147" si="16">IF(H141=CONST_NA,"",K140)</f>
        <v/>
      </c>
      <c r="L141" s="34"/>
      <c r="S141" s="105">
        <v>2</v>
      </c>
      <c r="T141" s="869"/>
    </row>
    <row r="142" spans="2:24" ht="12.75" customHeight="1" x14ac:dyDescent="0.25">
      <c r="D142" s="174">
        <v>3</v>
      </c>
      <c r="E142" s="163" t="str">
        <f t="shared" si="15"/>
        <v/>
      </c>
      <c r="F142" s="163"/>
      <c r="G142" s="163"/>
      <c r="H142" s="164" t="str">
        <f>IF(L137="","",INDEX(CONST_MATRIX_ProductionRoute,MATCH(L137,CONST_LIST_Goods,0),D142))</f>
        <v/>
      </c>
      <c r="I142" s="163"/>
      <c r="J142" s="163"/>
      <c r="K142" s="165" t="str">
        <f t="shared" si="16"/>
        <v/>
      </c>
      <c r="L142" s="34"/>
      <c r="S142" s="105">
        <v>3</v>
      </c>
      <c r="T142" s="869"/>
    </row>
    <row r="143" spans="2:24" ht="12.75" customHeight="1" x14ac:dyDescent="0.25">
      <c r="D143" s="174">
        <v>4</v>
      </c>
      <c r="E143" s="163" t="str">
        <f t="shared" si="15"/>
        <v/>
      </c>
      <c r="F143" s="163"/>
      <c r="G143" s="163"/>
      <c r="H143" s="164" t="str">
        <f>IF(L137="","",INDEX(CONST_MATRIX_ProductionRoute,MATCH(L137,CONST_LIST_Goods,0),D143))</f>
        <v/>
      </c>
      <c r="I143" s="163"/>
      <c r="J143" s="163"/>
      <c r="K143" s="165" t="str">
        <f t="shared" si="16"/>
        <v/>
      </c>
      <c r="L143" s="34"/>
      <c r="S143" s="105">
        <v>4</v>
      </c>
      <c r="T143" s="869"/>
    </row>
    <row r="144" spans="2:24" ht="12.75" customHeight="1" x14ac:dyDescent="0.25">
      <c r="D144" s="174">
        <v>5</v>
      </c>
      <c r="E144" s="163" t="str">
        <f t="shared" si="15"/>
        <v/>
      </c>
      <c r="F144" s="163"/>
      <c r="G144" s="163"/>
      <c r="H144" s="164" t="str">
        <f>IF(L137="","",INDEX(CONST_MATRIX_ProductionRoute,MATCH(L137,CONST_LIST_Goods,0),D144))</f>
        <v/>
      </c>
      <c r="I144" s="163"/>
      <c r="J144" s="163"/>
      <c r="K144" s="165" t="str">
        <f t="shared" si="16"/>
        <v/>
      </c>
      <c r="L144" s="34"/>
      <c r="S144" s="105">
        <v>5</v>
      </c>
      <c r="T144" s="869"/>
    </row>
    <row r="145" spans="4:24" ht="12.75" customHeight="1" x14ac:dyDescent="0.25">
      <c r="D145" s="174">
        <v>6</v>
      </c>
      <c r="E145" s="163" t="str">
        <f t="shared" si="15"/>
        <v/>
      </c>
      <c r="F145" s="163"/>
      <c r="G145" s="163"/>
      <c r="H145" s="164" t="str">
        <f>IF(L137="","",INDEX(CONST_MATRIX_ProductionRoute,MATCH(L137,CONST_LIST_Goods,0),D145))</f>
        <v/>
      </c>
      <c r="I145" s="163"/>
      <c r="J145" s="163"/>
      <c r="K145" s="165" t="str">
        <f t="shared" si="16"/>
        <v/>
      </c>
      <c r="L145" s="34"/>
      <c r="S145" s="105">
        <v>6</v>
      </c>
      <c r="T145" s="869"/>
    </row>
    <row r="146" spans="4:24" ht="12.75" customHeight="1" x14ac:dyDescent="0.25">
      <c r="D146" s="174">
        <v>7</v>
      </c>
      <c r="E146" s="163" t="str">
        <f t="shared" si="15"/>
        <v/>
      </c>
      <c r="F146" s="163"/>
      <c r="G146" s="163"/>
      <c r="H146" s="164" t="str">
        <f>IF(L137="","",INDEX(CONST_MATRIX_ProductionRoute,MATCH(L137,CONST_LIST_Goods,0),D146))</f>
        <v/>
      </c>
      <c r="I146" s="163"/>
      <c r="J146" s="163"/>
      <c r="K146" s="165" t="str">
        <f t="shared" si="16"/>
        <v/>
      </c>
      <c r="L146" s="34"/>
      <c r="S146" s="105">
        <v>7</v>
      </c>
      <c r="T146" s="869"/>
    </row>
    <row r="147" spans="4:24" ht="12.75" customHeight="1" x14ac:dyDescent="0.25">
      <c r="D147" s="174">
        <v>8</v>
      </c>
      <c r="E147" s="166" t="str">
        <f t="shared" si="15"/>
        <v/>
      </c>
      <c r="F147" s="166"/>
      <c r="G147" s="166"/>
      <c r="H147" s="167" t="str">
        <f>IF(L137="","",INDEX(CONST_MATRIX_ProductionRoute,MATCH(L137,CONST_LIST_Goods,0),D147))</f>
        <v/>
      </c>
      <c r="I147" s="166"/>
      <c r="J147" s="166"/>
      <c r="K147" s="168" t="str">
        <f t="shared" si="16"/>
        <v/>
      </c>
      <c r="L147" s="35"/>
      <c r="S147" s="105">
        <v>8</v>
      </c>
      <c r="T147" s="869"/>
    </row>
    <row r="148" spans="4:24" ht="12.75" customHeight="1" x14ac:dyDescent="0.25">
      <c r="D148" s="103"/>
      <c r="E148" s="143" t="str">
        <f>Translations!$B$277</f>
        <v>Total consumption within installation:</v>
      </c>
      <c r="F148" s="143"/>
      <c r="G148" s="143"/>
      <c r="H148" s="169"/>
      <c r="I148" s="143"/>
      <c r="J148" s="143"/>
      <c r="K148" s="171" t="str">
        <f>K140</f>
        <v/>
      </c>
      <c r="L148" s="394" t="str">
        <f>IF(G137="","",SUM(L140:L147))</f>
        <v/>
      </c>
      <c r="R148" s="102" t="str">
        <f>CONST_CNTR_TotProd&amp;G137</f>
        <v>TotProd_</v>
      </c>
      <c r="T148" s="218" t="str">
        <f>IF(G137="","",IF(SUM(L148)=0,100,L148))</f>
        <v/>
      </c>
    </row>
    <row r="149" spans="4:24" ht="5.0999999999999996" customHeight="1" x14ac:dyDescent="0.25">
      <c r="D149" s="137"/>
      <c r="E149" s="98"/>
      <c r="T149" s="128"/>
    </row>
    <row r="150" spans="4:24" ht="12.75" customHeight="1" x14ac:dyDescent="0.25">
      <c r="D150" s="120" t="s">
        <v>1253</v>
      </c>
      <c r="E150" s="98" t="str">
        <f>Translations!$B$278</f>
        <v>Consumed in "production processes" within the installation:</v>
      </c>
      <c r="F150" s="98"/>
      <c r="G150" s="98"/>
      <c r="H150" s="98"/>
      <c r="I150" s="98"/>
      <c r="J150" s="98"/>
      <c r="K150" s="120" t="str">
        <f>Translations!$B$221</f>
        <v>Unit</v>
      </c>
      <c r="L150" s="120" t="str">
        <f>Translations!$B$245</f>
        <v>Amounts</v>
      </c>
      <c r="S150" s="126" t="s">
        <v>1332</v>
      </c>
      <c r="T150" s="128"/>
    </row>
    <row r="151" spans="4:24" ht="12.75" customHeight="1" x14ac:dyDescent="0.25">
      <c r="D151" s="174">
        <v>1</v>
      </c>
      <c r="E151" s="175" t="str">
        <f t="shared" ref="E151:E160" si="17">IF(INDEX(CNTR_List_ExistProdProcNames,S151)=CONST_NA,"",INDEX(CNTR_List_ExistProdProcNames,S151))</f>
        <v/>
      </c>
      <c r="F151" s="176"/>
      <c r="G151" s="176"/>
      <c r="H151" s="176"/>
      <c r="I151" s="176"/>
      <c r="J151" s="177"/>
      <c r="K151" s="160" t="str">
        <f>IF(E151="","",K148)</f>
        <v/>
      </c>
      <c r="L151" s="28"/>
      <c r="O151" s="161"/>
      <c r="R151" s="102" t="str">
        <f>CONST_PrecursorToGoodInput&amp;G137 &amp;"_"&amp;E151</f>
        <v>PrecToGood__</v>
      </c>
      <c r="S151" s="105">
        <f>D151</f>
        <v>1</v>
      </c>
      <c r="T151" s="127" t="str">
        <f>IF(G137="","",L151)</f>
        <v/>
      </c>
      <c r="V151" s="162" t="str">
        <f>IF(AND(G137&lt;&gt;"",E151&lt;&gt;"",L151&lt;&gt;""),TRUE,IF(AND(G137&lt;&gt;"",E151&lt;&gt;"",L151="",X151=FALSE),CONST_ErrorOrMissing&amp;C137,CONST_NA))</f>
        <v>n.a.</v>
      </c>
      <c r="W151" s="89" t="s">
        <v>1333</v>
      </c>
      <c r="X151" s="102" t="b">
        <f>IF(G137="",FALSE,E151="")</f>
        <v>0</v>
      </c>
    </row>
    <row r="152" spans="4:24" ht="12.75" customHeight="1" x14ac:dyDescent="0.25">
      <c r="D152" s="174">
        <v>2</v>
      </c>
      <c r="E152" s="178" t="str">
        <f t="shared" si="17"/>
        <v/>
      </c>
      <c r="F152" s="179"/>
      <c r="G152" s="179"/>
      <c r="H152" s="179"/>
      <c r="I152" s="179"/>
      <c r="J152" s="180"/>
      <c r="K152" s="165" t="str">
        <f>IF(E152="","",K151)</f>
        <v/>
      </c>
      <c r="L152" s="29"/>
      <c r="O152" s="161"/>
      <c r="R152" s="102" t="str">
        <f>CONST_PrecursorToGoodInput&amp;G137 &amp;"_"&amp;E152</f>
        <v>PrecToGood__</v>
      </c>
      <c r="S152" s="105">
        <f t="shared" ref="S152:S160" si="18">D152</f>
        <v>2</v>
      </c>
      <c r="T152" s="127" t="str">
        <f>IF(G137="","",L152)</f>
        <v/>
      </c>
      <c r="V152" s="162" t="str">
        <f>IF(AND(G137&lt;&gt;"",E152&lt;&gt;"",L152&lt;&gt;""),TRUE,IF(AND(G137&lt;&gt;"",E152&lt;&gt;"",L152="",X152=FALSE),CONST_ErrorOrMissing&amp;C137,CONST_NA))</f>
        <v>n.a.</v>
      </c>
      <c r="X152" s="102" t="b">
        <f>IF(G137="",FALSE,E152="")</f>
        <v>0</v>
      </c>
    </row>
    <row r="153" spans="4:24" ht="12.75" customHeight="1" x14ac:dyDescent="0.25">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PrecToGood__</v>
      </c>
      <c r="S153" s="105">
        <f t="shared" si="18"/>
        <v>3</v>
      </c>
      <c r="T153" s="127" t="str">
        <f>IF(G137="","",L153)</f>
        <v/>
      </c>
      <c r="V153" s="162" t="str">
        <f>IF(AND(G137&lt;&gt;"",E153&lt;&gt;"",L153&lt;&gt;""),TRUE,IF(AND(G137&lt;&gt;"",E153&lt;&gt;"",L153="",X153=FALSE),CONST_ErrorOrMissing&amp;C137,CONST_NA))</f>
        <v>n.a.</v>
      </c>
      <c r="X153" s="102" t="b">
        <f>IF(G137="",FALSE,E153="")</f>
        <v>0</v>
      </c>
    </row>
    <row r="154" spans="4:24" ht="12.75" customHeight="1" x14ac:dyDescent="0.25">
      <c r="D154" s="174">
        <v>4</v>
      </c>
      <c r="E154" s="178" t="str">
        <f t="shared" si="17"/>
        <v/>
      </c>
      <c r="F154" s="179"/>
      <c r="G154" s="179"/>
      <c r="H154" s="179"/>
      <c r="I154" s="179"/>
      <c r="J154" s="180"/>
      <c r="K154" s="165" t="str">
        <f t="shared" si="19"/>
        <v/>
      </c>
      <c r="L154" s="29"/>
      <c r="O154" s="161"/>
      <c r="R154" s="102" t="str">
        <f>CONST_PrecursorToGoodInput&amp;G137 &amp;"_"&amp;E154</f>
        <v>PrecToGood__</v>
      </c>
      <c r="S154" s="105">
        <f t="shared" si="18"/>
        <v>4</v>
      </c>
      <c r="T154" s="127" t="str">
        <f>IF(G137="","",L154)</f>
        <v/>
      </c>
      <c r="V154" s="162" t="str">
        <f>IF(AND(G137&lt;&gt;"",E154&lt;&gt;"",L154&lt;&gt;""),TRUE,IF(AND(G137&lt;&gt;"",E154&lt;&gt;"",L154="",X154=FALSE),CONST_ErrorOrMissing&amp;C137,CONST_NA))</f>
        <v>n.a.</v>
      </c>
      <c r="X154" s="102" t="b">
        <f>IF(G137="",FALSE,E154="")</f>
        <v>0</v>
      </c>
    </row>
    <row r="155" spans="4:24" ht="12.75" customHeight="1" x14ac:dyDescent="0.25">
      <c r="D155" s="174">
        <v>5</v>
      </c>
      <c r="E155" s="181" t="str">
        <f t="shared" si="17"/>
        <v/>
      </c>
      <c r="F155" s="182"/>
      <c r="G155" s="182"/>
      <c r="H155" s="182"/>
      <c r="I155" s="182"/>
      <c r="J155" s="183"/>
      <c r="K155" s="184" t="str">
        <f t="shared" si="19"/>
        <v/>
      </c>
      <c r="L155" s="214"/>
      <c r="O155" s="161"/>
      <c r="R155" s="102" t="str">
        <f>CONST_PrecursorToGoodInput&amp;G137 &amp;"_"&amp;E155</f>
        <v>PrecToGood__</v>
      </c>
      <c r="S155" s="105">
        <f t="shared" si="18"/>
        <v>5</v>
      </c>
      <c r="T155" s="127" t="str">
        <f>IF(G137="","",L155)</f>
        <v/>
      </c>
      <c r="V155" s="162" t="str">
        <f>IF(AND(G137&lt;&gt;"",E155&lt;&gt;"",L155&lt;&gt;""),TRUE,IF(AND(G137&lt;&gt;"",E155&lt;&gt;"",L155="",X155=FALSE),CONST_ErrorOrMissing&amp;C137,CONST_NA))</f>
        <v>n.a.</v>
      </c>
      <c r="X155" s="102" t="b">
        <f>IF(G137="",FALSE,E155="")</f>
        <v>0</v>
      </c>
    </row>
    <row r="156" spans="4:24" ht="12.75" customHeight="1" x14ac:dyDescent="0.25">
      <c r="D156" s="174">
        <v>6</v>
      </c>
      <c r="E156" s="181" t="str">
        <f t="shared" si="17"/>
        <v/>
      </c>
      <c r="F156" s="182"/>
      <c r="G156" s="182"/>
      <c r="H156" s="182"/>
      <c r="I156" s="182"/>
      <c r="J156" s="183"/>
      <c r="K156" s="184" t="str">
        <f t="shared" si="19"/>
        <v/>
      </c>
      <c r="L156" s="214"/>
      <c r="O156" s="161"/>
      <c r="R156" s="102" t="str">
        <f>CONST_PrecursorToGoodInput&amp;G137 &amp;"_"&amp;E156</f>
        <v>PrecToGood__</v>
      </c>
      <c r="S156" s="105">
        <f t="shared" si="18"/>
        <v>6</v>
      </c>
      <c r="T156" s="127" t="str">
        <f>IF(G137="","",L156)</f>
        <v/>
      </c>
      <c r="V156" s="162" t="str">
        <f>IF(AND(G137&lt;&gt;"",E156&lt;&gt;"",L156&lt;&gt;""),TRUE,IF(AND(G137&lt;&gt;"",E156&lt;&gt;"",L156="",X156=FALSE),CONST_ErrorOrMissing&amp;C137,CONST_NA))</f>
        <v>n.a.</v>
      </c>
      <c r="X156" s="102" t="b">
        <f>IF(G137="",FALSE,E156="")</f>
        <v>0</v>
      </c>
    </row>
    <row r="157" spans="4:24" ht="12.75" customHeight="1" x14ac:dyDescent="0.25">
      <c r="D157" s="174">
        <v>7</v>
      </c>
      <c r="E157" s="181" t="str">
        <f t="shared" si="17"/>
        <v/>
      </c>
      <c r="F157" s="182"/>
      <c r="G157" s="182"/>
      <c r="H157" s="182"/>
      <c r="I157" s="182"/>
      <c r="J157" s="183"/>
      <c r="K157" s="184" t="str">
        <f t="shared" si="19"/>
        <v/>
      </c>
      <c r="L157" s="214"/>
      <c r="O157" s="161"/>
      <c r="R157" s="102" t="str">
        <f>CONST_PrecursorToGoodInput&amp;G137 &amp;"_"&amp;E157</f>
        <v>PrecToGood__</v>
      </c>
      <c r="S157" s="105">
        <f t="shared" si="18"/>
        <v>7</v>
      </c>
      <c r="T157" s="127" t="str">
        <f>IF(G137="","",L157)</f>
        <v/>
      </c>
      <c r="V157" s="162" t="str">
        <f>IF(AND(G137&lt;&gt;"",E157&lt;&gt;"",L157&lt;&gt;""),TRUE,IF(AND(G137&lt;&gt;"",E157&lt;&gt;"",L157="",X157=FALSE),CONST_ErrorOrMissing&amp;C137,CONST_NA))</f>
        <v>n.a.</v>
      </c>
      <c r="X157" s="102" t="b">
        <f>IF(G137="",FALSE,E157="")</f>
        <v>0</v>
      </c>
    </row>
    <row r="158" spans="4:24" ht="12.75" customHeight="1" x14ac:dyDescent="0.25">
      <c r="D158" s="174">
        <v>8</v>
      </c>
      <c r="E158" s="181" t="str">
        <f t="shared" si="17"/>
        <v/>
      </c>
      <c r="F158" s="182"/>
      <c r="G158" s="182"/>
      <c r="H158" s="182"/>
      <c r="I158" s="182"/>
      <c r="J158" s="183"/>
      <c r="K158" s="184" t="str">
        <f t="shared" si="19"/>
        <v/>
      </c>
      <c r="L158" s="214"/>
      <c r="O158" s="161"/>
      <c r="R158" s="102" t="str">
        <f>CONST_PrecursorToGoodInput&amp;G137 &amp;"_"&amp;E158</f>
        <v>PrecToGood__</v>
      </c>
      <c r="S158" s="105">
        <f t="shared" si="18"/>
        <v>8</v>
      </c>
      <c r="T158" s="127" t="str">
        <f>IF(G137="","",L158)</f>
        <v/>
      </c>
      <c r="V158" s="162" t="str">
        <f>IF(AND(G137&lt;&gt;"",E158&lt;&gt;"",L158&lt;&gt;""),TRUE,IF(AND(G137&lt;&gt;"",E158&lt;&gt;"",L158="",X158=FALSE),CONST_ErrorOrMissing&amp;C137,CONST_NA))</f>
        <v>n.a.</v>
      </c>
      <c r="X158" s="102" t="b">
        <f>IF(G137="",FALSE,E158="")</f>
        <v>0</v>
      </c>
    </row>
    <row r="159" spans="4:24" ht="12.75" customHeight="1" x14ac:dyDescent="0.25">
      <c r="D159" s="174">
        <v>9</v>
      </c>
      <c r="E159" s="181" t="str">
        <f t="shared" si="17"/>
        <v/>
      </c>
      <c r="F159" s="182"/>
      <c r="G159" s="182"/>
      <c r="H159" s="182"/>
      <c r="I159" s="182"/>
      <c r="J159" s="183"/>
      <c r="K159" s="184" t="str">
        <f t="shared" si="19"/>
        <v/>
      </c>
      <c r="L159" s="214"/>
      <c r="O159" s="161"/>
      <c r="R159" s="102" t="str">
        <f>CONST_PrecursorToGoodInput&amp;G137 &amp;"_"&amp;E159</f>
        <v>PrecToGood__</v>
      </c>
      <c r="S159" s="105">
        <f t="shared" si="18"/>
        <v>9</v>
      </c>
      <c r="T159" s="127" t="str">
        <f>IF(G137="","",L159)</f>
        <v/>
      </c>
      <c r="V159" s="162" t="str">
        <f>IF(AND(G137&lt;&gt;"",E159&lt;&gt;"",L159&lt;&gt;""),TRUE,IF(AND(G137&lt;&gt;"",E159&lt;&gt;"",L159="",X159=FALSE),CONST_ErrorOrMissing&amp;C137,CONST_NA))</f>
        <v>n.a.</v>
      </c>
      <c r="X159" s="102" t="b">
        <f>IF(G137="",FALSE,E159="")</f>
        <v>0</v>
      </c>
    </row>
    <row r="160" spans="4:24" ht="12.75" customHeight="1" x14ac:dyDescent="0.25">
      <c r="D160" s="174">
        <v>10</v>
      </c>
      <c r="E160" s="185" t="str">
        <f t="shared" si="17"/>
        <v/>
      </c>
      <c r="F160" s="186"/>
      <c r="G160" s="186"/>
      <c r="H160" s="186"/>
      <c r="I160" s="186"/>
      <c r="J160" s="187"/>
      <c r="K160" s="168" t="str">
        <f t="shared" si="19"/>
        <v/>
      </c>
      <c r="L160" s="30"/>
      <c r="O160" s="161"/>
      <c r="R160" s="102" t="str">
        <f>CONST_PrecursorToGoodInput&amp;G137 &amp;"_"&amp;E160</f>
        <v>PrecToGood__</v>
      </c>
      <c r="S160" s="105">
        <f t="shared" si="18"/>
        <v>10</v>
      </c>
      <c r="T160" s="127" t="str">
        <f>IF(G137="","",L160)</f>
        <v/>
      </c>
      <c r="V160" s="162" t="str">
        <f>IF(AND(G137&lt;&gt;"",E160&lt;&gt;"",L160&lt;&gt;""),TRUE,IF(AND(G137&lt;&gt;"",E160&lt;&gt;"",L160="",X160=FALSE),CONST_ErrorOrMissing&amp;C137,CONST_NA))</f>
        <v>n.a.</v>
      </c>
      <c r="X160" s="102" t="b">
        <f>IF(G137="",FALSE,E160="")</f>
        <v>0</v>
      </c>
    </row>
    <row r="161" spans="3:24" ht="12.75" customHeight="1" x14ac:dyDescent="0.25">
      <c r="D161" s="120" t="s">
        <v>1254</v>
      </c>
      <c r="E161" s="98" t="str">
        <f>Translations!$B$252</f>
        <v>Consumed for non-CBAM goods within the installation:</v>
      </c>
      <c r="F161" s="98"/>
      <c r="G161" s="98"/>
      <c r="H161" s="98"/>
      <c r="I161" s="98"/>
      <c r="J161" s="98"/>
      <c r="K161" s="171" t="str">
        <f>K148</f>
        <v/>
      </c>
      <c r="L161" s="220"/>
      <c r="T161" s="128"/>
    </row>
    <row r="162" spans="3:24" ht="12.75" customHeight="1" x14ac:dyDescent="0.25">
      <c r="D162" s="120" t="s">
        <v>1334</v>
      </c>
      <c r="E162" s="143" t="str">
        <f>Translations!$B$253</f>
        <v>Control:</v>
      </c>
      <c r="F162" s="172"/>
      <c r="G162" s="172"/>
      <c r="H162" s="172"/>
      <c r="I162" s="172"/>
      <c r="J162" s="172"/>
      <c r="K162" s="171" t="str">
        <f>K161</f>
        <v/>
      </c>
      <c r="L162" s="121" t="str">
        <f>IF(G137="","",SUM(L148)-SUM(L151:L161))</f>
        <v/>
      </c>
      <c r="T162" s="128"/>
    </row>
    <row r="163" spans="3:24" ht="12.75" customHeight="1" thickBot="1" x14ac:dyDescent="0.3">
      <c r="T163" s="128"/>
    </row>
    <row r="164" spans="3:24" ht="12.75" customHeight="1" x14ac:dyDescent="0.25">
      <c r="C164" s="188"/>
      <c r="D164" s="189"/>
      <c r="E164" s="190"/>
      <c r="F164" s="191"/>
      <c r="G164" s="191"/>
      <c r="H164" s="191"/>
      <c r="I164" s="191"/>
      <c r="J164" s="191"/>
      <c r="K164" s="191"/>
      <c r="L164" s="191"/>
      <c r="M164" s="191"/>
      <c r="N164" s="192"/>
      <c r="T164" s="128"/>
    </row>
    <row r="165" spans="3:24" ht="15" customHeight="1" x14ac:dyDescent="0.25">
      <c r="C165" s="193"/>
      <c r="D165" s="194" t="str">
        <f>Translations!$B$279</f>
        <v>Specific embedded emissions:</v>
      </c>
      <c r="E165" s="195"/>
      <c r="F165" s="196"/>
      <c r="G165" s="196"/>
      <c r="H165" s="196"/>
      <c r="I165" s="196"/>
      <c r="J165" s="1201" t="str">
        <f>IF(G137="","",G137)</f>
        <v/>
      </c>
      <c r="K165" s="1201"/>
      <c r="L165" s="1201"/>
      <c r="M165" s="1201"/>
      <c r="N165" s="197"/>
      <c r="T165" s="128"/>
    </row>
    <row r="166" spans="3:24" ht="5.0999999999999996" customHeight="1" x14ac:dyDescent="0.25">
      <c r="C166" s="193"/>
      <c r="D166" s="198"/>
      <c r="E166" s="199"/>
      <c r="F166" s="196"/>
      <c r="G166" s="196"/>
      <c r="H166" s="196"/>
      <c r="I166" s="196"/>
      <c r="J166" s="196"/>
      <c r="K166" s="196"/>
      <c r="L166" s="196"/>
      <c r="M166" s="196"/>
      <c r="N166" s="197"/>
      <c r="T166" s="128"/>
    </row>
    <row r="167" spans="3:24" ht="12.75" customHeight="1" x14ac:dyDescent="0.25">
      <c r="C167" s="193"/>
      <c r="D167" s="200" t="s">
        <v>1335</v>
      </c>
      <c r="E167" s="199" t="str">
        <f>Translations!$B$280</f>
        <v>Emissions embedded in this purchased precursor</v>
      </c>
      <c r="F167" s="199"/>
      <c r="G167" s="199"/>
      <c r="H167" s="199"/>
      <c r="I167" s="199"/>
      <c r="J167" s="199"/>
      <c r="K167" s="199"/>
      <c r="L167" s="199"/>
      <c r="M167" s="199"/>
      <c r="N167" s="197"/>
      <c r="T167" s="128"/>
      <c r="V167" s="173"/>
    </row>
    <row r="168" spans="3:24" ht="12.75" customHeight="1" x14ac:dyDescent="0.25">
      <c r="C168" s="193"/>
      <c r="D168" s="200"/>
      <c r="E168" s="1202" t="str">
        <f>Translations!$B$281</f>
        <v>Please enter here the values and sources for the specific embedded direct and indirect emissions, as obtained from the supplier.</v>
      </c>
      <c r="F168" s="1202"/>
      <c r="G168" s="1202"/>
      <c r="H168" s="1202"/>
      <c r="I168" s="1202"/>
      <c r="J168" s="1202"/>
      <c r="K168" s="1202"/>
      <c r="L168" s="1202"/>
      <c r="M168" s="1202"/>
      <c r="N168" s="392"/>
      <c r="T168" s="128"/>
    </row>
    <row r="169" spans="3:24" ht="12.75" customHeight="1" x14ac:dyDescent="0.25">
      <c r="C169" s="193"/>
      <c r="D169" s="200"/>
      <c r="E169" s="1202" t="str">
        <f>Translations!$B$282</f>
        <v>For the SEE (direct), the 'Type of value' relates to whether the direct emissions are measured, or whether a default value provided by the European Commission was applied.</v>
      </c>
      <c r="F169" s="1202"/>
      <c r="G169" s="1202"/>
      <c r="H169" s="1202"/>
      <c r="I169" s="1202"/>
      <c r="J169" s="1202"/>
      <c r="K169" s="1202"/>
      <c r="L169" s="1202"/>
      <c r="M169" s="1202"/>
      <c r="N169" s="392"/>
      <c r="T169" s="128"/>
    </row>
    <row r="170" spans="3:24" ht="12.75" customHeight="1" x14ac:dyDescent="0.25">
      <c r="C170" s="193"/>
      <c r="D170" s="200"/>
      <c r="E170" s="1202" t="str">
        <f>Translations!$B$283</f>
        <v>In order to obtain these data and information, you may want to ask your supplier to fill in an empty copy of this communication template.</v>
      </c>
      <c r="F170" s="1202"/>
      <c r="G170" s="1202"/>
      <c r="H170" s="1202"/>
      <c r="I170" s="1202"/>
      <c r="J170" s="1202"/>
      <c r="K170" s="1202"/>
      <c r="L170" s="1202"/>
      <c r="M170" s="1202"/>
      <c r="N170" s="392"/>
      <c r="T170" s="128"/>
    </row>
    <row r="171" spans="3:24" ht="12.75" customHeight="1" x14ac:dyDescent="0.25">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x14ac:dyDescent="0.25">
      <c r="C172" s="193"/>
      <c r="D172" s="198" t="s">
        <v>1238</v>
      </c>
      <c r="E172" s="202" t="str">
        <f>Translations!$B$286</f>
        <v>Specific embedded direct emissions (SEE (direct) )</v>
      </c>
      <c r="F172" s="202"/>
      <c r="G172" s="202"/>
      <c r="H172" s="202"/>
      <c r="I172" s="202"/>
      <c r="J172" s="202"/>
      <c r="K172" s="219" t="str">
        <f>IF(L137="","",CONST_tCO2eq &amp; "/" &amp; K148)</f>
        <v/>
      </c>
      <c r="L172" s="217"/>
      <c r="M172" s="393"/>
      <c r="N172" s="197"/>
      <c r="O172" s="161"/>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2" t="str">
        <f>IF(AND(G137&lt;&gt;"",COUNTA(L172:M172)=2),TRUE,IF(AND(G137&lt;&gt;"",COUNTA(L172:M172)&lt;2),CONST_ErrorOrMissing&amp;C137,CONST_NA))</f>
        <v>n.a.</v>
      </c>
    </row>
    <row r="173" spans="3:24" x14ac:dyDescent="0.25">
      <c r="C173" s="193"/>
      <c r="D173" s="198" t="s">
        <v>1239</v>
      </c>
      <c r="E173" s="202" t="str">
        <f>Translations!$B$287</f>
        <v>Specific embedded indirect emissions (SEE (indirect) )</v>
      </c>
      <c r="F173" s="202"/>
      <c r="G173" s="202"/>
      <c r="H173" s="202"/>
      <c r="I173" s="202"/>
      <c r="J173" s="202"/>
      <c r="K173" s="219" t="str">
        <f>K172</f>
        <v/>
      </c>
      <c r="L173" s="217"/>
      <c r="M173" s="217"/>
      <c r="N173" s="197"/>
      <c r="O173" s="161"/>
      <c r="R173" s="102" t="str">
        <f>CONST_CNTR_ElecEFMethod&amp;G137</f>
        <v>ElecEFMeth_</v>
      </c>
      <c r="S173" s="102" t="str">
        <f>CONST_CNTR_EmbedEmInDir&amp;G137</f>
        <v>EmbedEmInDir_</v>
      </c>
      <c r="T173" s="127" t="str">
        <f>IF(G137="","",SUM(T148)*SUM(L173))</f>
        <v/>
      </c>
      <c r="U173" s="105" t="str">
        <f>IF(G137="","",M173)</f>
        <v/>
      </c>
      <c r="V173" s="162" t="str">
        <f>IF(AND(G137&lt;&gt;"",COUNTA(L173:M173)=2),TRUE,IF(AND(G137&lt;&gt;"",COUNTA(L173:M173)&lt;2),CONST_ErrorOrMissing&amp;C137,CONST_NA))</f>
        <v>n.a.</v>
      </c>
    </row>
    <row r="174" spans="3:24" ht="5.0999999999999996" customHeight="1" x14ac:dyDescent="0.25">
      <c r="C174" s="193"/>
      <c r="D174" s="198"/>
      <c r="E174" s="196"/>
      <c r="F174" s="196"/>
      <c r="G174" s="196"/>
      <c r="H174" s="196"/>
      <c r="I174" s="196"/>
      <c r="J174" s="196"/>
      <c r="K174" s="196"/>
      <c r="L174" s="196"/>
      <c r="M174" s="196"/>
      <c r="N174" s="197"/>
      <c r="T174" s="128"/>
      <c r="U174" s="126"/>
      <c r="V174" s="173"/>
    </row>
    <row r="175" spans="3:24" ht="12.75" customHeight="1" x14ac:dyDescent="0.25">
      <c r="C175" s="193"/>
      <c r="D175" s="198" t="s">
        <v>1240</v>
      </c>
      <c r="E175" s="202" t="str">
        <f>Translations!$B$1858</f>
        <v>Justification for use of default values (if relevant):</v>
      </c>
      <c r="F175" s="202"/>
      <c r="G175" s="202"/>
      <c r="H175" s="202"/>
      <c r="I175" s="202"/>
      <c r="J175" s="202"/>
      <c r="K175" s="1203"/>
      <c r="L175" s="1203"/>
      <c r="M175" s="1203"/>
      <c r="N175" s="197"/>
      <c r="O175" s="161"/>
      <c r="T175" s="128"/>
      <c r="U175" s="126"/>
      <c r="V175" s="162" t="str">
        <f>IF(AND(G137&lt;&gt;"",X175=FALSE,K175&lt;&gt;""),TRUE,IF(AND(G137&lt;&gt;"",M172&lt;&gt;"",X175=FALSE,K175=""),CONST_ErrorOrMissing&amp;C137,CONST_NA))</f>
        <v>n.a.</v>
      </c>
      <c r="X175" s="102" t="b">
        <f>IF(M172="",FALSE,M172&lt;&gt;INDEX(CONST_MeasuredOrDefault,2))</f>
        <v>0</v>
      </c>
    </row>
    <row r="176" spans="3:24" ht="12.75" customHeight="1" thickBot="1" x14ac:dyDescent="0.3">
      <c r="C176" s="208"/>
      <c r="D176" s="209"/>
      <c r="E176" s="210"/>
      <c r="F176" s="211"/>
      <c r="G176" s="211"/>
      <c r="H176" s="211"/>
      <c r="I176" s="211"/>
      <c r="J176" s="211"/>
      <c r="K176" s="211"/>
      <c r="L176" s="211"/>
      <c r="M176" s="211"/>
      <c r="N176" s="212"/>
      <c r="T176" s="128"/>
    </row>
    <row r="177" spans="2:24" ht="12.75" customHeight="1" thickBot="1" x14ac:dyDescent="0.3">
      <c r="T177" s="128"/>
    </row>
    <row r="178" spans="2:24" ht="12.75" customHeight="1" thickBot="1" x14ac:dyDescent="0.3">
      <c r="B178" s="150"/>
      <c r="C178" s="150"/>
      <c r="D178" s="150"/>
      <c r="E178" s="150"/>
      <c r="F178" s="150"/>
      <c r="G178" s="150"/>
      <c r="H178" s="150"/>
      <c r="I178" s="150"/>
      <c r="J178" s="150"/>
      <c r="K178" s="150"/>
      <c r="L178" s="150"/>
      <c r="M178" s="150"/>
      <c r="N178" s="150"/>
      <c r="O178" s="150"/>
      <c r="T178" s="128"/>
    </row>
    <row r="179" spans="2:24" ht="18" customHeight="1" thickBot="1" x14ac:dyDescent="0.3">
      <c r="C179" s="152">
        <f>C137+1</f>
        <v>5</v>
      </c>
      <c r="D179" s="153" t="str">
        <f>CONST_PurchPrecursor &amp; " " &amp; C179 &amp; ":"</f>
        <v>Purchased precursor 5:</v>
      </c>
      <c r="G179" s="1191" t="str">
        <f>IF(INDEX(CNTR_List_ExistPurchPrecNames,MATCH(R179,CNTR_ListPurchPrecID,0))=CONST_NA,"",INDEX(CNTR_List_ExistPurchPrecNames,MATCH(R179,CNTR_ListPurchPrecID,0)))</f>
        <v/>
      </c>
      <c r="H179" s="1192"/>
      <c r="I179" s="1192"/>
      <c r="J179" s="1192"/>
      <c r="K179" s="1193"/>
      <c r="L179" s="1194" t="str">
        <f>IF(INDEX(CNTR_List_ExistPurchPrec,MATCH(R179,CNTR_ListPurchPrecID,0))=CONST_NA,"",INDEX(CNTR_List_ExistPurchPrec,MATCH(R179,CNTR_ListPurchPrecID,0)))</f>
        <v/>
      </c>
      <c r="M179" s="1195"/>
      <c r="N179" s="1196"/>
      <c r="R179" s="154" t="str">
        <f>INDEX(CNTR_ListPurchPrecID,C179)</f>
        <v>PP5</v>
      </c>
      <c r="T179" s="128"/>
      <c r="W179" s="104" t="s">
        <v>1330</v>
      </c>
      <c r="X179" s="155" t="b">
        <f>AND(CNTR_HasEntriesA,G179="")</f>
        <v>0</v>
      </c>
    </row>
    <row r="180" spans="2:24" ht="12.75" customHeight="1" x14ac:dyDescent="0.25">
      <c r="D180" s="103"/>
      <c r="E180" s="98"/>
      <c r="T180" s="128"/>
      <c r="W180" s="104"/>
    </row>
    <row r="181" spans="2:24" ht="12.75" customHeight="1" x14ac:dyDescent="0.25">
      <c r="D181" s="120" t="s">
        <v>1331</v>
      </c>
      <c r="E181" s="98" t="str">
        <f>Translations!$B$276</f>
        <v>Total purchased levels:</v>
      </c>
      <c r="H181" s="156" t="str">
        <f>Translations!$B$244</f>
        <v>Production route</v>
      </c>
      <c r="K181" s="157" t="str">
        <f>Translations!$B$221</f>
        <v>Unit</v>
      </c>
      <c r="L181" s="157" t="str">
        <f>Translations!$B$245</f>
        <v>Amounts</v>
      </c>
      <c r="T181" s="128"/>
    </row>
    <row r="182" spans="2:24" ht="12.75" customHeight="1" x14ac:dyDescent="0.25">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x14ac:dyDescent="0.25">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x14ac:dyDescent="0.25">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x14ac:dyDescent="0.25">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x14ac:dyDescent="0.25">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x14ac:dyDescent="0.25">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x14ac:dyDescent="0.25">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x14ac:dyDescent="0.25">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x14ac:dyDescent="0.25">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x14ac:dyDescent="0.25">
      <c r="D191" s="137"/>
      <c r="E191" s="98"/>
      <c r="T191" s="128"/>
    </row>
    <row r="192" spans="2:24" ht="12.75" customHeight="1" x14ac:dyDescent="0.25">
      <c r="D192" s="120" t="s">
        <v>1253</v>
      </c>
      <c r="E192" s="98" t="str">
        <f>Translations!$B$278</f>
        <v>Consumed in "production processes" within the installation:</v>
      </c>
      <c r="F192" s="98"/>
      <c r="G192" s="98"/>
      <c r="H192" s="98"/>
      <c r="I192" s="98"/>
      <c r="J192" s="98"/>
      <c r="K192" s="120" t="str">
        <f>Translations!$B$221</f>
        <v>Unit</v>
      </c>
      <c r="L192" s="120" t="str">
        <f>Translations!$B$245</f>
        <v>Amounts</v>
      </c>
      <c r="S192" s="126" t="s">
        <v>1332</v>
      </c>
      <c r="T192" s="128"/>
    </row>
    <row r="193" spans="3:24" ht="12.75" customHeight="1" x14ac:dyDescent="0.25">
      <c r="D193" s="174">
        <v>1</v>
      </c>
      <c r="E193" s="175" t="str">
        <f t="shared" ref="E193:E202" si="22">IF(INDEX(CNTR_List_ExistProdProcNames,S193)=CONST_NA,"",INDEX(CNTR_List_ExistProdProcNames,S193))</f>
        <v/>
      </c>
      <c r="F193" s="176"/>
      <c r="G193" s="176"/>
      <c r="H193" s="176"/>
      <c r="I193" s="176"/>
      <c r="J193" s="177"/>
      <c r="K193" s="160" t="str">
        <f>IF(E193="","",K190)</f>
        <v/>
      </c>
      <c r="L193" s="28"/>
      <c r="O193" s="161"/>
      <c r="R193" s="102" t="str">
        <f>CONST_PrecursorToGoodInput&amp;G179 &amp;"_"&amp;E193</f>
        <v>PrecToGood__</v>
      </c>
      <c r="S193" s="105">
        <f>D193</f>
        <v>1</v>
      </c>
      <c r="T193" s="127" t="str">
        <f>IF(G179="","",L193)</f>
        <v/>
      </c>
      <c r="V193" s="162" t="str">
        <f>IF(AND(G179&lt;&gt;"",E193&lt;&gt;"",L193&lt;&gt;""),TRUE,IF(AND(G179&lt;&gt;"",E193&lt;&gt;"",L193="",X193=FALSE),CONST_ErrorOrMissing&amp;C179,CONST_NA))</f>
        <v>n.a.</v>
      </c>
      <c r="W193" s="89" t="s">
        <v>1333</v>
      </c>
      <c r="X193" s="102" t="b">
        <f>IF(G179="",FALSE,E193="")</f>
        <v>0</v>
      </c>
    </row>
    <row r="194" spans="3:24" ht="12.75" customHeight="1" x14ac:dyDescent="0.25">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x14ac:dyDescent="0.25">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x14ac:dyDescent="0.25">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x14ac:dyDescent="0.25">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x14ac:dyDescent="0.25">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x14ac:dyDescent="0.25">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x14ac:dyDescent="0.25">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x14ac:dyDescent="0.25">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x14ac:dyDescent="0.25">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x14ac:dyDescent="0.25">
      <c r="D203" s="120" t="s">
        <v>1254</v>
      </c>
      <c r="E203" s="98" t="str">
        <f>Translations!$B$252</f>
        <v>Consumed for non-CBAM goods within the installation:</v>
      </c>
      <c r="F203" s="98"/>
      <c r="G203" s="98"/>
      <c r="H203" s="98"/>
      <c r="I203" s="98"/>
      <c r="J203" s="98"/>
      <c r="K203" s="171" t="str">
        <f>K190</f>
        <v/>
      </c>
      <c r="L203" s="220"/>
      <c r="T203" s="128"/>
    </row>
    <row r="204" spans="3:24" ht="12.75" customHeight="1" x14ac:dyDescent="0.25">
      <c r="D204" s="120" t="s">
        <v>1334</v>
      </c>
      <c r="E204" s="143" t="str">
        <f>Translations!$B$253</f>
        <v>Control:</v>
      </c>
      <c r="F204" s="172"/>
      <c r="G204" s="172"/>
      <c r="H204" s="172"/>
      <c r="I204" s="172"/>
      <c r="J204" s="172"/>
      <c r="K204" s="171" t="str">
        <f>K203</f>
        <v/>
      </c>
      <c r="L204" s="121" t="str">
        <f>IF(G179="","",SUM(L190)-SUM(L193:L203))</f>
        <v/>
      </c>
      <c r="T204" s="128"/>
    </row>
    <row r="205" spans="3:24" ht="12.75" customHeight="1" thickBot="1" x14ac:dyDescent="0.3">
      <c r="T205" s="128"/>
    </row>
    <row r="206" spans="3:24" ht="12.75" customHeight="1" x14ac:dyDescent="0.25">
      <c r="C206" s="188"/>
      <c r="D206" s="189"/>
      <c r="E206" s="190"/>
      <c r="F206" s="191"/>
      <c r="G206" s="191"/>
      <c r="H206" s="191"/>
      <c r="I206" s="191"/>
      <c r="J206" s="191"/>
      <c r="K206" s="191"/>
      <c r="L206" s="191"/>
      <c r="M206" s="191"/>
      <c r="N206" s="192"/>
      <c r="T206" s="128"/>
    </row>
    <row r="207" spans="3:24" ht="15" customHeight="1" x14ac:dyDescent="0.25">
      <c r="C207" s="193"/>
      <c r="D207" s="194" t="str">
        <f>Translations!$B$279</f>
        <v>Specific embedded emissions:</v>
      </c>
      <c r="E207" s="195"/>
      <c r="F207" s="196"/>
      <c r="G207" s="196"/>
      <c r="H207" s="196"/>
      <c r="I207" s="196"/>
      <c r="J207" s="1201" t="str">
        <f>IF(G179="","",G179)</f>
        <v/>
      </c>
      <c r="K207" s="1201"/>
      <c r="L207" s="1201"/>
      <c r="M207" s="1201"/>
      <c r="N207" s="197"/>
      <c r="T207" s="128"/>
    </row>
    <row r="208" spans="3:24" ht="5.0999999999999996" customHeight="1" x14ac:dyDescent="0.25">
      <c r="C208" s="193"/>
      <c r="D208" s="198"/>
      <c r="E208" s="199"/>
      <c r="F208" s="196"/>
      <c r="G208" s="196"/>
      <c r="H208" s="196"/>
      <c r="I208" s="196"/>
      <c r="J208" s="196"/>
      <c r="K208" s="196"/>
      <c r="L208" s="196"/>
      <c r="M208" s="196"/>
      <c r="N208" s="197"/>
      <c r="T208" s="128"/>
    </row>
    <row r="209" spans="2:24" ht="12.75" customHeight="1" x14ac:dyDescent="0.25">
      <c r="C209" s="193"/>
      <c r="D209" s="200" t="s">
        <v>1335</v>
      </c>
      <c r="E209" s="199" t="str">
        <f>Translations!$B$280</f>
        <v>Emissions embedded in this purchased precursor</v>
      </c>
      <c r="F209" s="199"/>
      <c r="G209" s="199"/>
      <c r="H209" s="199"/>
      <c r="I209" s="199"/>
      <c r="J209" s="199"/>
      <c r="K209" s="199"/>
      <c r="L209" s="199"/>
      <c r="M209" s="199"/>
      <c r="N209" s="197"/>
      <c r="T209" s="128"/>
      <c r="V209" s="173"/>
    </row>
    <row r="210" spans="2:24" ht="12.75" customHeight="1" x14ac:dyDescent="0.25">
      <c r="C210" s="193"/>
      <c r="D210" s="200"/>
      <c r="E210" s="1202" t="str">
        <f>Translations!$B$281</f>
        <v>Please enter here the values and sources for the specific embedded direct and indirect emissions, as obtained from the supplier.</v>
      </c>
      <c r="F210" s="1202"/>
      <c r="G210" s="1202"/>
      <c r="H210" s="1202"/>
      <c r="I210" s="1202"/>
      <c r="J210" s="1202"/>
      <c r="K210" s="1202"/>
      <c r="L210" s="1202"/>
      <c r="M210" s="1202"/>
      <c r="N210" s="392"/>
      <c r="T210" s="128"/>
    </row>
    <row r="211" spans="2:24" ht="12.75" customHeight="1" x14ac:dyDescent="0.25">
      <c r="C211" s="193"/>
      <c r="D211" s="200"/>
      <c r="E211" s="1202" t="str">
        <f>Translations!$B$282</f>
        <v>For the SEE (direct), the 'Type of value' relates to whether the direct emissions are measured, or whether a default value provided by the European Commission was applied.</v>
      </c>
      <c r="F211" s="1202"/>
      <c r="G211" s="1202"/>
      <c r="H211" s="1202"/>
      <c r="I211" s="1202"/>
      <c r="J211" s="1202"/>
      <c r="K211" s="1202"/>
      <c r="L211" s="1202"/>
      <c r="M211" s="1202"/>
      <c r="N211" s="392"/>
      <c r="T211" s="128"/>
    </row>
    <row r="212" spans="2:24" ht="12.75" customHeight="1" x14ac:dyDescent="0.25">
      <c r="C212" s="193"/>
      <c r="D212" s="200"/>
      <c r="E212" s="1202" t="str">
        <f>Translations!$B$283</f>
        <v>In order to obtain these data and information, you may want to ask your supplier to fill in an empty copy of this communication template.</v>
      </c>
      <c r="F212" s="1202"/>
      <c r="G212" s="1202"/>
      <c r="H212" s="1202"/>
      <c r="I212" s="1202"/>
      <c r="J212" s="1202"/>
      <c r="K212" s="1202"/>
      <c r="L212" s="1202"/>
      <c r="M212" s="1202"/>
      <c r="N212" s="392"/>
      <c r="T212" s="128"/>
    </row>
    <row r="213" spans="2:24" ht="12.75" customHeight="1" x14ac:dyDescent="0.25">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x14ac:dyDescent="0.25">
      <c r="C214" s="193"/>
      <c r="D214" s="198" t="s">
        <v>1238</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x14ac:dyDescent="0.25">
      <c r="C215" s="193"/>
      <c r="D215" s="198" t="s">
        <v>1239</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x14ac:dyDescent="0.25">
      <c r="C216" s="193"/>
      <c r="D216" s="198"/>
      <c r="E216" s="196"/>
      <c r="F216" s="196"/>
      <c r="G216" s="196"/>
      <c r="H216" s="196"/>
      <c r="I216" s="196"/>
      <c r="J216" s="196"/>
      <c r="K216" s="196"/>
      <c r="L216" s="196"/>
      <c r="M216" s="196"/>
      <c r="N216" s="197"/>
      <c r="T216" s="128"/>
      <c r="U216" s="126"/>
      <c r="V216" s="173"/>
    </row>
    <row r="217" spans="2:24" ht="12.75" customHeight="1" x14ac:dyDescent="0.25">
      <c r="C217" s="193"/>
      <c r="D217" s="198" t="s">
        <v>1240</v>
      </c>
      <c r="E217" s="202" t="str">
        <f>Translations!$B$1858</f>
        <v>Justification for use of default values (if relevant):</v>
      </c>
      <c r="F217" s="202"/>
      <c r="G217" s="202"/>
      <c r="H217" s="202"/>
      <c r="I217" s="202"/>
      <c r="J217" s="202"/>
      <c r="K217" s="1203"/>
      <c r="L217" s="1203"/>
      <c r="M217" s="1203"/>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x14ac:dyDescent="0.3">
      <c r="C218" s="208"/>
      <c r="D218" s="209"/>
      <c r="E218" s="210"/>
      <c r="F218" s="211"/>
      <c r="G218" s="211"/>
      <c r="H218" s="211"/>
      <c r="I218" s="211"/>
      <c r="J218" s="211"/>
      <c r="K218" s="211"/>
      <c r="L218" s="211"/>
      <c r="M218" s="211"/>
      <c r="N218" s="212"/>
      <c r="T218" s="128"/>
    </row>
    <row r="219" spans="2:24" ht="12.75" customHeight="1" thickBot="1" x14ac:dyDescent="0.3">
      <c r="T219" s="128"/>
    </row>
    <row r="220" spans="2:24" ht="12.75" customHeight="1" thickBot="1" x14ac:dyDescent="0.3">
      <c r="B220" s="150"/>
      <c r="C220" s="150"/>
      <c r="D220" s="150"/>
      <c r="E220" s="150"/>
      <c r="F220" s="150"/>
      <c r="G220" s="150"/>
      <c r="H220" s="150"/>
      <c r="I220" s="150"/>
      <c r="J220" s="150"/>
      <c r="K220" s="150"/>
      <c r="L220" s="150"/>
      <c r="M220" s="150"/>
      <c r="N220" s="150"/>
      <c r="O220" s="150"/>
      <c r="T220" s="128"/>
    </row>
    <row r="221" spans="2:24" ht="18" customHeight="1" thickBot="1" x14ac:dyDescent="0.3">
      <c r="C221" s="152">
        <f>C179+1</f>
        <v>6</v>
      </c>
      <c r="D221" s="153" t="str">
        <f>CONST_PurchPrecursor &amp; " " &amp; C221 &amp; ":"</f>
        <v>Purchased precursor 6:</v>
      </c>
      <c r="G221" s="1191" t="str">
        <f>IF(INDEX(CNTR_List_ExistPurchPrecNames,MATCH(R221,CNTR_ListPurchPrecID,0))=CONST_NA,"",INDEX(CNTR_List_ExistPurchPrecNames,MATCH(R221,CNTR_ListPurchPrecID,0)))</f>
        <v/>
      </c>
      <c r="H221" s="1192"/>
      <c r="I221" s="1192"/>
      <c r="J221" s="1192"/>
      <c r="K221" s="1193"/>
      <c r="L221" s="1194" t="str">
        <f>IF(INDEX(CNTR_List_ExistPurchPrec,MATCH(R221,CNTR_ListPurchPrecID,0))=CONST_NA,"",INDEX(CNTR_List_ExistPurchPrec,MATCH(R221,CNTR_ListPurchPrecID,0)))</f>
        <v/>
      </c>
      <c r="M221" s="1195"/>
      <c r="N221" s="1196"/>
      <c r="R221" s="154" t="str">
        <f>INDEX(CNTR_ListPurchPrecID,C221)</f>
        <v>PP6</v>
      </c>
      <c r="T221" s="128"/>
      <c r="W221" s="104" t="s">
        <v>1330</v>
      </c>
      <c r="X221" s="155" t="b">
        <f>AND(CNTR_HasEntriesA,G221="")</f>
        <v>0</v>
      </c>
    </row>
    <row r="222" spans="2:24" ht="12.75" customHeight="1" x14ac:dyDescent="0.25">
      <c r="D222" s="103"/>
      <c r="E222" s="98"/>
      <c r="T222" s="128"/>
      <c r="W222" s="104"/>
    </row>
    <row r="223" spans="2:24" ht="12.75" customHeight="1" x14ac:dyDescent="0.25">
      <c r="D223" s="120" t="s">
        <v>1331</v>
      </c>
      <c r="E223" s="98" t="str">
        <f>Translations!$B$276</f>
        <v>Total purchased levels:</v>
      </c>
      <c r="H223" s="156" t="str">
        <f>Translations!$B$244</f>
        <v>Production route</v>
      </c>
      <c r="K223" s="157" t="str">
        <f>Translations!$B$221</f>
        <v>Unit</v>
      </c>
      <c r="L223" s="157" t="str">
        <f>Translations!$B$245</f>
        <v>Amounts</v>
      </c>
      <c r="T223" s="128"/>
    </row>
    <row r="224" spans="2:24" ht="12.75" customHeight="1" x14ac:dyDescent="0.25">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x14ac:dyDescent="0.25">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x14ac:dyDescent="0.25">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x14ac:dyDescent="0.25">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x14ac:dyDescent="0.25">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x14ac:dyDescent="0.25">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x14ac:dyDescent="0.25">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x14ac:dyDescent="0.25">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x14ac:dyDescent="0.25">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x14ac:dyDescent="0.25">
      <c r="D233" s="137"/>
      <c r="E233" s="98"/>
      <c r="T233" s="128"/>
    </row>
    <row r="234" spans="4:24" ht="12.75" customHeight="1" x14ac:dyDescent="0.25">
      <c r="D234" s="120" t="s">
        <v>1253</v>
      </c>
      <c r="E234" s="98" t="str">
        <f>Translations!$B$278</f>
        <v>Consumed in "production processes" within the installation:</v>
      </c>
      <c r="F234" s="98"/>
      <c r="G234" s="98"/>
      <c r="H234" s="98"/>
      <c r="I234" s="98"/>
      <c r="J234" s="98"/>
      <c r="K234" s="120" t="str">
        <f>Translations!$B$221</f>
        <v>Unit</v>
      </c>
      <c r="L234" s="120" t="str">
        <f>Translations!$B$245</f>
        <v>Amounts</v>
      </c>
      <c r="S234" s="126" t="s">
        <v>1332</v>
      </c>
      <c r="T234" s="128"/>
    </row>
    <row r="235" spans="4:24" ht="12.75" customHeight="1" x14ac:dyDescent="0.25">
      <c r="D235" s="174">
        <v>1</v>
      </c>
      <c r="E235" s="175" t="str">
        <f t="shared" ref="E235:E244" si="27">IF(INDEX(CNTR_List_ExistProdProcNames,S235)=CONST_NA,"",INDEX(CNTR_List_ExistProdProcNames,S235))</f>
        <v/>
      </c>
      <c r="F235" s="176"/>
      <c r="G235" s="176"/>
      <c r="H235" s="176"/>
      <c r="I235" s="176"/>
      <c r="J235" s="177"/>
      <c r="K235" s="160" t="str">
        <f>IF(E235="","",K232)</f>
        <v/>
      </c>
      <c r="L235" s="28"/>
      <c r="O235" s="161"/>
      <c r="R235" s="102" t="str">
        <f>CONST_PrecursorToGoodInput&amp;G221 &amp;"_"&amp;E235</f>
        <v>PrecToGood__</v>
      </c>
      <c r="S235" s="105">
        <f>D235</f>
        <v>1</v>
      </c>
      <c r="T235" s="127" t="str">
        <f>IF(G221="","",L235)</f>
        <v/>
      </c>
      <c r="V235" s="162" t="str">
        <f>IF(AND(G221&lt;&gt;"",E235&lt;&gt;"",L235&lt;&gt;""),TRUE,IF(AND(G221&lt;&gt;"",E235&lt;&gt;"",L235="",X235=FALSE),CONST_ErrorOrMissing&amp;C221,CONST_NA))</f>
        <v>n.a.</v>
      </c>
      <c r="W235" s="89" t="s">
        <v>1333</v>
      </c>
      <c r="X235" s="102" t="b">
        <f>IF(G221="",FALSE,E235="")</f>
        <v>0</v>
      </c>
    </row>
    <row r="236" spans="4:24" ht="12.75" customHeight="1" x14ac:dyDescent="0.25">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x14ac:dyDescent="0.25">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x14ac:dyDescent="0.25">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x14ac:dyDescent="0.25">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x14ac:dyDescent="0.25">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x14ac:dyDescent="0.25">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x14ac:dyDescent="0.25">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x14ac:dyDescent="0.25">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x14ac:dyDescent="0.25">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x14ac:dyDescent="0.25">
      <c r="D245" s="120" t="s">
        <v>1254</v>
      </c>
      <c r="E245" s="98" t="str">
        <f>Translations!$B$252</f>
        <v>Consumed for non-CBAM goods within the installation:</v>
      </c>
      <c r="F245" s="98"/>
      <c r="G245" s="98"/>
      <c r="H245" s="98"/>
      <c r="I245" s="98"/>
      <c r="J245" s="98"/>
      <c r="K245" s="171" t="str">
        <f>K232</f>
        <v/>
      </c>
      <c r="L245" s="220"/>
      <c r="T245" s="128"/>
    </row>
    <row r="246" spans="3:24" ht="12.75" customHeight="1" x14ac:dyDescent="0.25">
      <c r="D246" s="120" t="s">
        <v>1334</v>
      </c>
      <c r="E246" s="143" t="str">
        <f>Translations!$B$253</f>
        <v>Control:</v>
      </c>
      <c r="F246" s="172"/>
      <c r="G246" s="172"/>
      <c r="H246" s="172"/>
      <c r="I246" s="172"/>
      <c r="J246" s="172"/>
      <c r="K246" s="171" t="str">
        <f>K245</f>
        <v/>
      </c>
      <c r="L246" s="121" t="str">
        <f>IF(G221="","",SUM(L232)-SUM(L235:L245))</f>
        <v/>
      </c>
      <c r="T246" s="128"/>
    </row>
    <row r="247" spans="3:24" ht="12.75" customHeight="1" thickBot="1" x14ac:dyDescent="0.3">
      <c r="T247" s="128"/>
    </row>
    <row r="248" spans="3:24" ht="12.75" customHeight="1" x14ac:dyDescent="0.25">
      <c r="C248" s="188"/>
      <c r="D248" s="189"/>
      <c r="E248" s="190"/>
      <c r="F248" s="191"/>
      <c r="G248" s="191"/>
      <c r="H248" s="191"/>
      <c r="I248" s="191"/>
      <c r="J248" s="191"/>
      <c r="K248" s="191"/>
      <c r="L248" s="191"/>
      <c r="M248" s="191"/>
      <c r="N248" s="192"/>
      <c r="T248" s="128"/>
    </row>
    <row r="249" spans="3:24" ht="15" customHeight="1" x14ac:dyDescent="0.25">
      <c r="C249" s="193"/>
      <c r="D249" s="194" t="str">
        <f>Translations!$B$279</f>
        <v>Specific embedded emissions:</v>
      </c>
      <c r="E249" s="195"/>
      <c r="F249" s="196"/>
      <c r="G249" s="196"/>
      <c r="H249" s="196"/>
      <c r="I249" s="196"/>
      <c r="J249" s="1201" t="str">
        <f>IF(G221="","",G221)</f>
        <v/>
      </c>
      <c r="K249" s="1201"/>
      <c r="L249" s="1201"/>
      <c r="M249" s="1201"/>
      <c r="N249" s="197"/>
      <c r="T249" s="128"/>
    </row>
    <row r="250" spans="3:24" ht="5.0999999999999996" customHeight="1" x14ac:dyDescent="0.25">
      <c r="C250" s="193"/>
      <c r="D250" s="198"/>
      <c r="E250" s="199"/>
      <c r="F250" s="196"/>
      <c r="G250" s="196"/>
      <c r="H250" s="196"/>
      <c r="I250" s="196"/>
      <c r="J250" s="196"/>
      <c r="K250" s="196"/>
      <c r="L250" s="196"/>
      <c r="M250" s="196"/>
      <c r="N250" s="197"/>
      <c r="T250" s="128"/>
    </row>
    <row r="251" spans="3:24" ht="12.75" customHeight="1" x14ac:dyDescent="0.25">
      <c r="C251" s="193"/>
      <c r="D251" s="200" t="s">
        <v>1335</v>
      </c>
      <c r="E251" s="199" t="str">
        <f>Translations!$B$280</f>
        <v>Emissions embedded in this purchased precursor</v>
      </c>
      <c r="F251" s="199"/>
      <c r="G251" s="199"/>
      <c r="H251" s="199"/>
      <c r="I251" s="199"/>
      <c r="J251" s="199"/>
      <c r="K251" s="199"/>
      <c r="L251" s="199"/>
      <c r="M251" s="199"/>
      <c r="N251" s="197"/>
      <c r="T251" s="128"/>
      <c r="V251" s="173"/>
    </row>
    <row r="252" spans="3:24" ht="12.75" customHeight="1" x14ac:dyDescent="0.25">
      <c r="C252" s="193"/>
      <c r="D252" s="200"/>
      <c r="E252" s="1202" t="str">
        <f>Translations!$B$281</f>
        <v>Please enter here the values and sources for the specific embedded direct and indirect emissions, as obtained from the supplier.</v>
      </c>
      <c r="F252" s="1202"/>
      <c r="G252" s="1202"/>
      <c r="H252" s="1202"/>
      <c r="I252" s="1202"/>
      <c r="J252" s="1202"/>
      <c r="K252" s="1202"/>
      <c r="L252" s="1202"/>
      <c r="M252" s="1202"/>
      <c r="N252" s="392"/>
      <c r="T252" s="128"/>
    </row>
    <row r="253" spans="3:24" ht="12.75" customHeight="1" x14ac:dyDescent="0.25">
      <c r="C253" s="193"/>
      <c r="D253" s="200"/>
      <c r="E253" s="1202" t="str">
        <f>Translations!$B$282</f>
        <v>For the SEE (direct), the 'Type of value' relates to whether the direct emissions are measured, or whether a default value provided by the European Commission was applied.</v>
      </c>
      <c r="F253" s="1202"/>
      <c r="G253" s="1202"/>
      <c r="H253" s="1202"/>
      <c r="I253" s="1202"/>
      <c r="J253" s="1202"/>
      <c r="K253" s="1202"/>
      <c r="L253" s="1202"/>
      <c r="M253" s="1202"/>
      <c r="N253" s="392"/>
      <c r="T253" s="128"/>
    </row>
    <row r="254" spans="3:24" ht="12.75" customHeight="1" x14ac:dyDescent="0.25">
      <c r="C254" s="193"/>
      <c r="D254" s="200"/>
      <c r="E254" s="1202" t="str">
        <f>Translations!$B$283</f>
        <v>In order to obtain these data and information, you may want to ask your supplier to fill in an empty copy of this communication template.</v>
      </c>
      <c r="F254" s="1202"/>
      <c r="G254" s="1202"/>
      <c r="H254" s="1202"/>
      <c r="I254" s="1202"/>
      <c r="J254" s="1202"/>
      <c r="K254" s="1202"/>
      <c r="L254" s="1202"/>
      <c r="M254" s="1202"/>
      <c r="N254" s="392"/>
      <c r="T254" s="128"/>
    </row>
    <row r="255" spans="3:24" ht="12.75" customHeight="1" x14ac:dyDescent="0.25">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x14ac:dyDescent="0.25">
      <c r="C256" s="193"/>
      <c r="D256" s="198" t="s">
        <v>1238</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x14ac:dyDescent="0.25">
      <c r="C257" s="193"/>
      <c r="D257" s="198" t="s">
        <v>1239</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x14ac:dyDescent="0.25">
      <c r="C258" s="193"/>
      <c r="D258" s="198"/>
      <c r="E258" s="196"/>
      <c r="F258" s="196"/>
      <c r="G258" s="196"/>
      <c r="H258" s="196"/>
      <c r="I258" s="196"/>
      <c r="J258" s="196"/>
      <c r="K258" s="196"/>
      <c r="L258" s="196"/>
      <c r="M258" s="196"/>
      <c r="N258" s="197"/>
      <c r="T258" s="128"/>
      <c r="U258" s="126"/>
      <c r="V258" s="173"/>
    </row>
    <row r="259" spans="2:24" ht="12.75" customHeight="1" x14ac:dyDescent="0.25">
      <c r="C259" s="193"/>
      <c r="D259" s="198" t="s">
        <v>1240</v>
      </c>
      <c r="E259" s="202" t="str">
        <f>Translations!$B$1858</f>
        <v>Justification for use of default values (if relevant):</v>
      </c>
      <c r="F259" s="202"/>
      <c r="G259" s="202"/>
      <c r="H259" s="202"/>
      <c r="I259" s="202"/>
      <c r="J259" s="202"/>
      <c r="K259" s="1203"/>
      <c r="L259" s="1203"/>
      <c r="M259" s="1203"/>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x14ac:dyDescent="0.3">
      <c r="C260" s="208"/>
      <c r="D260" s="209"/>
      <c r="E260" s="210"/>
      <c r="F260" s="211"/>
      <c r="G260" s="211"/>
      <c r="H260" s="211"/>
      <c r="I260" s="211"/>
      <c r="J260" s="211"/>
      <c r="K260" s="211"/>
      <c r="L260" s="211"/>
      <c r="M260" s="211"/>
      <c r="N260" s="212"/>
      <c r="T260" s="128"/>
    </row>
    <row r="261" spans="2:24" ht="12.75" customHeight="1" thickBot="1" x14ac:dyDescent="0.3">
      <c r="T261" s="128"/>
    </row>
    <row r="262" spans="2:24" ht="12.75" customHeight="1" thickBot="1" x14ac:dyDescent="0.3">
      <c r="B262" s="150"/>
      <c r="C262" s="150"/>
      <c r="D262" s="150"/>
      <c r="E262" s="150"/>
      <c r="F262" s="150"/>
      <c r="G262" s="150"/>
      <c r="H262" s="150"/>
      <c r="I262" s="150"/>
      <c r="J262" s="150"/>
      <c r="K262" s="150"/>
      <c r="L262" s="150"/>
      <c r="M262" s="150"/>
      <c r="N262" s="150"/>
      <c r="O262" s="150"/>
      <c r="T262" s="128"/>
    </row>
    <row r="263" spans="2:24" ht="18" customHeight="1" thickBot="1" x14ac:dyDescent="0.3">
      <c r="C263" s="152">
        <f>C221+1</f>
        <v>7</v>
      </c>
      <c r="D263" s="153" t="str">
        <f>CONST_PurchPrecursor &amp; " " &amp; C263 &amp; ":"</f>
        <v>Purchased precursor 7:</v>
      </c>
      <c r="G263" s="1191" t="str">
        <f>IF(INDEX(CNTR_List_ExistPurchPrecNames,MATCH(R263,CNTR_ListPurchPrecID,0))=CONST_NA,"",INDEX(CNTR_List_ExistPurchPrecNames,MATCH(R263,CNTR_ListPurchPrecID,0)))</f>
        <v/>
      </c>
      <c r="H263" s="1192"/>
      <c r="I263" s="1192"/>
      <c r="J263" s="1192"/>
      <c r="K263" s="1193"/>
      <c r="L263" s="1194" t="str">
        <f>IF(INDEX(CNTR_List_ExistPurchPrec,MATCH(R263,CNTR_ListPurchPrecID,0))=CONST_NA,"",INDEX(CNTR_List_ExistPurchPrec,MATCH(R263,CNTR_ListPurchPrecID,0)))</f>
        <v/>
      </c>
      <c r="M263" s="1195"/>
      <c r="N263" s="1196"/>
      <c r="R263" s="154" t="str">
        <f>INDEX(CNTR_ListPurchPrecID,C263)</f>
        <v>PP7</v>
      </c>
      <c r="T263" s="128"/>
      <c r="W263" s="104" t="s">
        <v>1330</v>
      </c>
      <c r="X263" s="155" t="b">
        <f>AND(CNTR_HasEntriesA,G263="")</f>
        <v>0</v>
      </c>
    </row>
    <row r="264" spans="2:24" ht="12.75" customHeight="1" x14ac:dyDescent="0.25">
      <c r="D264" s="103"/>
      <c r="E264" s="98"/>
      <c r="T264" s="128"/>
      <c r="W264" s="104"/>
    </row>
    <row r="265" spans="2:24" ht="12.75" customHeight="1" x14ac:dyDescent="0.25">
      <c r="D265" s="120" t="s">
        <v>1331</v>
      </c>
      <c r="E265" s="98" t="str">
        <f>Translations!$B$276</f>
        <v>Total purchased levels:</v>
      </c>
      <c r="H265" s="156" t="str">
        <f>Translations!$B$244</f>
        <v>Production route</v>
      </c>
      <c r="K265" s="157" t="str">
        <f>Translations!$B$221</f>
        <v>Unit</v>
      </c>
      <c r="L265" s="157" t="str">
        <f>Translations!$B$245</f>
        <v>Amounts</v>
      </c>
      <c r="T265" s="128"/>
    </row>
    <row r="266" spans="2:24" ht="12.75" customHeight="1" x14ac:dyDescent="0.25">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x14ac:dyDescent="0.25">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x14ac:dyDescent="0.25">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x14ac:dyDescent="0.25">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x14ac:dyDescent="0.25">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x14ac:dyDescent="0.25">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x14ac:dyDescent="0.25">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x14ac:dyDescent="0.25">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x14ac:dyDescent="0.25">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x14ac:dyDescent="0.25">
      <c r="D275" s="137"/>
      <c r="E275" s="98"/>
      <c r="T275" s="128"/>
    </row>
    <row r="276" spans="4:24" ht="12.75" customHeight="1" x14ac:dyDescent="0.25">
      <c r="D276" s="120" t="s">
        <v>1253</v>
      </c>
      <c r="E276" s="98" t="str">
        <f>Translations!$B$278</f>
        <v>Consumed in "production processes" within the installation:</v>
      </c>
      <c r="F276" s="98"/>
      <c r="G276" s="98"/>
      <c r="H276" s="98"/>
      <c r="I276" s="98"/>
      <c r="J276" s="98"/>
      <c r="K276" s="120" t="str">
        <f>Translations!$B$221</f>
        <v>Unit</v>
      </c>
      <c r="L276" s="120" t="str">
        <f>Translations!$B$245</f>
        <v>Amounts</v>
      </c>
      <c r="S276" s="126" t="s">
        <v>1332</v>
      </c>
      <c r="T276" s="128"/>
    </row>
    <row r="277" spans="4:24" ht="12.75" customHeight="1" x14ac:dyDescent="0.25">
      <c r="D277" s="174">
        <v>1</v>
      </c>
      <c r="E277" s="175" t="str">
        <f t="shared" ref="E277:E286" si="32">IF(INDEX(CNTR_List_ExistProdProcNames,S277)=CONST_NA,"",INDEX(CNTR_List_ExistProdProcNames,S277))</f>
        <v/>
      </c>
      <c r="F277" s="176"/>
      <c r="G277" s="176"/>
      <c r="H277" s="176"/>
      <c r="I277" s="176"/>
      <c r="J277" s="177"/>
      <c r="K277" s="160" t="str">
        <f>IF(E277="","",K274)</f>
        <v/>
      </c>
      <c r="L277" s="28"/>
      <c r="O277" s="161"/>
      <c r="R277" s="102" t="str">
        <f>CONST_PrecursorToGoodInput&amp;G263 &amp;"_"&amp;E277</f>
        <v>PrecToGood__</v>
      </c>
      <c r="S277" s="105">
        <f>D277</f>
        <v>1</v>
      </c>
      <c r="T277" s="127" t="str">
        <f>IF(G263="","",L277)</f>
        <v/>
      </c>
      <c r="V277" s="162" t="str">
        <f>IF(AND(G263&lt;&gt;"",E277&lt;&gt;"",L277&lt;&gt;""),TRUE,IF(AND(G263&lt;&gt;"",E277&lt;&gt;"",L277="",X277=FALSE),CONST_ErrorOrMissing&amp;C263,CONST_NA))</f>
        <v>n.a.</v>
      </c>
      <c r="W277" s="89" t="s">
        <v>1333</v>
      </c>
      <c r="X277" s="102" t="b">
        <f>IF(G263="",FALSE,E277="")</f>
        <v>0</v>
      </c>
    </row>
    <row r="278" spans="4:24" ht="12.75" customHeight="1" x14ac:dyDescent="0.25">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x14ac:dyDescent="0.25">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x14ac:dyDescent="0.25">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x14ac:dyDescent="0.25">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x14ac:dyDescent="0.25">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x14ac:dyDescent="0.25">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x14ac:dyDescent="0.25">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x14ac:dyDescent="0.25">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x14ac:dyDescent="0.25">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x14ac:dyDescent="0.25">
      <c r="D287" s="120" t="s">
        <v>1254</v>
      </c>
      <c r="E287" s="98" t="str">
        <f>Translations!$B$252</f>
        <v>Consumed for non-CBAM goods within the installation:</v>
      </c>
      <c r="F287" s="98"/>
      <c r="G287" s="98"/>
      <c r="H287" s="98"/>
      <c r="I287" s="98"/>
      <c r="J287" s="98"/>
      <c r="K287" s="171" t="str">
        <f>K274</f>
        <v/>
      </c>
      <c r="L287" s="220"/>
      <c r="T287" s="128"/>
    </row>
    <row r="288" spans="4:24" ht="12.75" customHeight="1" x14ac:dyDescent="0.25">
      <c r="D288" s="120" t="s">
        <v>1334</v>
      </c>
      <c r="E288" s="143" t="str">
        <f>Translations!$B$253</f>
        <v>Control:</v>
      </c>
      <c r="F288" s="172"/>
      <c r="G288" s="172"/>
      <c r="H288" s="172"/>
      <c r="I288" s="172"/>
      <c r="J288" s="172"/>
      <c r="K288" s="171" t="str">
        <f>K287</f>
        <v/>
      </c>
      <c r="L288" s="121" t="str">
        <f>IF(G263="","",SUM(L274)-SUM(L277:L287))</f>
        <v/>
      </c>
      <c r="T288" s="128"/>
    </row>
    <row r="289" spans="2:24" ht="12.75" customHeight="1" thickBot="1" x14ac:dyDescent="0.3">
      <c r="T289" s="128"/>
    </row>
    <row r="290" spans="2:24" ht="12.75" customHeight="1" x14ac:dyDescent="0.25">
      <c r="C290" s="188"/>
      <c r="D290" s="189"/>
      <c r="E290" s="190"/>
      <c r="F290" s="191"/>
      <c r="G290" s="191"/>
      <c r="H290" s="191"/>
      <c r="I290" s="191"/>
      <c r="J290" s="191"/>
      <c r="K290" s="191"/>
      <c r="L290" s="191"/>
      <c r="M290" s="191"/>
      <c r="N290" s="192"/>
      <c r="T290" s="128"/>
    </row>
    <row r="291" spans="2:24" ht="15" customHeight="1" x14ac:dyDescent="0.25">
      <c r="C291" s="193"/>
      <c r="D291" s="194" t="str">
        <f>Translations!$B$279</f>
        <v>Specific embedded emissions:</v>
      </c>
      <c r="E291" s="195"/>
      <c r="F291" s="196"/>
      <c r="G291" s="196"/>
      <c r="H291" s="196"/>
      <c r="I291" s="196"/>
      <c r="J291" s="1201" t="str">
        <f>IF(G263="","",G263)</f>
        <v/>
      </c>
      <c r="K291" s="1201"/>
      <c r="L291" s="1201"/>
      <c r="M291" s="1201"/>
      <c r="N291" s="197"/>
      <c r="T291" s="128"/>
    </row>
    <row r="292" spans="2:24" ht="5.0999999999999996" customHeight="1" x14ac:dyDescent="0.25">
      <c r="C292" s="193"/>
      <c r="D292" s="198"/>
      <c r="E292" s="199"/>
      <c r="F292" s="196"/>
      <c r="G292" s="196"/>
      <c r="H292" s="196"/>
      <c r="I292" s="196"/>
      <c r="J292" s="196"/>
      <c r="K292" s="196"/>
      <c r="L292" s="196"/>
      <c r="M292" s="196"/>
      <c r="N292" s="197"/>
      <c r="T292" s="128"/>
    </row>
    <row r="293" spans="2:24" ht="12.75" customHeight="1" x14ac:dyDescent="0.25">
      <c r="C293" s="193"/>
      <c r="D293" s="200" t="s">
        <v>1335</v>
      </c>
      <c r="E293" s="199" t="str">
        <f>Translations!$B$280</f>
        <v>Emissions embedded in this purchased precursor</v>
      </c>
      <c r="F293" s="199"/>
      <c r="G293" s="199"/>
      <c r="H293" s="199"/>
      <c r="I293" s="199"/>
      <c r="J293" s="199"/>
      <c r="K293" s="199"/>
      <c r="L293" s="199"/>
      <c r="M293" s="199"/>
      <c r="N293" s="197"/>
      <c r="T293" s="128"/>
      <c r="V293" s="173"/>
    </row>
    <row r="294" spans="2:24" ht="12.75" customHeight="1" x14ac:dyDescent="0.25">
      <c r="C294" s="193"/>
      <c r="D294" s="200"/>
      <c r="E294" s="1202" t="str">
        <f>Translations!$B$281</f>
        <v>Please enter here the values and sources for the specific embedded direct and indirect emissions, as obtained from the supplier.</v>
      </c>
      <c r="F294" s="1202"/>
      <c r="G294" s="1202"/>
      <c r="H294" s="1202"/>
      <c r="I294" s="1202"/>
      <c r="J294" s="1202"/>
      <c r="K294" s="1202"/>
      <c r="L294" s="1202"/>
      <c r="M294" s="1202"/>
      <c r="N294" s="392"/>
      <c r="T294" s="128"/>
    </row>
    <row r="295" spans="2:24" ht="12.75" customHeight="1" x14ac:dyDescent="0.25">
      <c r="C295" s="193"/>
      <c r="D295" s="200"/>
      <c r="E295" s="1202" t="str">
        <f>Translations!$B$282</f>
        <v>For the SEE (direct), the 'Type of value' relates to whether the direct emissions are measured, or whether a default value provided by the European Commission was applied.</v>
      </c>
      <c r="F295" s="1202"/>
      <c r="G295" s="1202"/>
      <c r="H295" s="1202"/>
      <c r="I295" s="1202"/>
      <c r="J295" s="1202"/>
      <c r="K295" s="1202"/>
      <c r="L295" s="1202"/>
      <c r="M295" s="1202"/>
      <c r="N295" s="392"/>
      <c r="T295" s="128"/>
    </row>
    <row r="296" spans="2:24" ht="12.75" customHeight="1" x14ac:dyDescent="0.25">
      <c r="C296" s="193"/>
      <c r="D296" s="200"/>
      <c r="E296" s="1202" t="str">
        <f>Translations!$B$283</f>
        <v>In order to obtain these data and information, you may want to ask your supplier to fill in an empty copy of this communication template.</v>
      </c>
      <c r="F296" s="1202"/>
      <c r="G296" s="1202"/>
      <c r="H296" s="1202"/>
      <c r="I296" s="1202"/>
      <c r="J296" s="1202"/>
      <c r="K296" s="1202"/>
      <c r="L296" s="1202"/>
      <c r="M296" s="1202"/>
      <c r="N296" s="392"/>
      <c r="T296" s="128"/>
    </row>
    <row r="297" spans="2:24" ht="12.75" customHeight="1" x14ac:dyDescent="0.25">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x14ac:dyDescent="0.25">
      <c r="C298" s="193"/>
      <c r="D298" s="198" t="s">
        <v>1238</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x14ac:dyDescent="0.25">
      <c r="C299" s="193"/>
      <c r="D299" s="198" t="s">
        <v>1239</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x14ac:dyDescent="0.25">
      <c r="C300" s="193"/>
      <c r="D300" s="198"/>
      <c r="E300" s="196"/>
      <c r="F300" s="196"/>
      <c r="G300" s="196"/>
      <c r="H300" s="196"/>
      <c r="I300" s="196"/>
      <c r="J300" s="196"/>
      <c r="K300" s="196"/>
      <c r="L300" s="196"/>
      <c r="M300" s="196"/>
      <c r="N300" s="197"/>
      <c r="T300" s="128"/>
      <c r="U300" s="126"/>
      <c r="V300" s="173"/>
    </row>
    <row r="301" spans="2:24" ht="12.75" customHeight="1" x14ac:dyDescent="0.25">
      <c r="C301" s="193"/>
      <c r="D301" s="198" t="s">
        <v>1240</v>
      </c>
      <c r="E301" s="202" t="str">
        <f>Translations!$B$1858</f>
        <v>Justification for use of default values (if relevant):</v>
      </c>
      <c r="F301" s="202"/>
      <c r="G301" s="202"/>
      <c r="H301" s="202"/>
      <c r="I301" s="202"/>
      <c r="J301" s="202"/>
      <c r="K301" s="1203"/>
      <c r="L301" s="1203"/>
      <c r="M301" s="1203"/>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x14ac:dyDescent="0.3">
      <c r="C302" s="208"/>
      <c r="D302" s="209"/>
      <c r="E302" s="210"/>
      <c r="F302" s="211"/>
      <c r="G302" s="211"/>
      <c r="H302" s="211"/>
      <c r="I302" s="211"/>
      <c r="J302" s="211"/>
      <c r="K302" s="211"/>
      <c r="L302" s="211"/>
      <c r="M302" s="211"/>
      <c r="N302" s="212"/>
      <c r="T302" s="128"/>
    </row>
    <row r="303" spans="2:24" ht="12.75" customHeight="1" thickBot="1" x14ac:dyDescent="0.3">
      <c r="T303" s="128"/>
    </row>
    <row r="304" spans="2:24" ht="12.75" customHeight="1" thickBot="1" x14ac:dyDescent="0.3">
      <c r="B304" s="150"/>
      <c r="C304" s="150"/>
      <c r="D304" s="150"/>
      <c r="E304" s="150"/>
      <c r="F304" s="150"/>
      <c r="G304" s="150"/>
      <c r="H304" s="150"/>
      <c r="I304" s="150"/>
      <c r="J304" s="150"/>
      <c r="K304" s="150"/>
      <c r="L304" s="150"/>
      <c r="M304" s="150"/>
      <c r="N304" s="150"/>
      <c r="O304" s="150"/>
      <c r="T304" s="128"/>
    </row>
    <row r="305" spans="3:24" ht="18" customHeight="1" thickBot="1" x14ac:dyDescent="0.3">
      <c r="C305" s="152">
        <f>C263+1</f>
        <v>8</v>
      </c>
      <c r="D305" s="153" t="str">
        <f>CONST_PurchPrecursor &amp; " " &amp; C305 &amp; ":"</f>
        <v>Purchased precursor 8:</v>
      </c>
      <c r="G305" s="1191" t="str">
        <f>IF(INDEX(CNTR_List_ExistPurchPrecNames,MATCH(R305,CNTR_ListPurchPrecID,0))=CONST_NA,"",INDEX(CNTR_List_ExistPurchPrecNames,MATCH(R305,CNTR_ListPurchPrecID,0)))</f>
        <v/>
      </c>
      <c r="H305" s="1192"/>
      <c r="I305" s="1192"/>
      <c r="J305" s="1192"/>
      <c r="K305" s="1193"/>
      <c r="L305" s="1194" t="str">
        <f>IF(INDEX(CNTR_List_ExistPurchPrec,MATCH(R305,CNTR_ListPurchPrecID,0))=CONST_NA,"",INDEX(CNTR_List_ExistPurchPrec,MATCH(R305,CNTR_ListPurchPrecID,0)))</f>
        <v/>
      </c>
      <c r="M305" s="1195"/>
      <c r="N305" s="1196"/>
      <c r="R305" s="154" t="str">
        <f>INDEX(CNTR_ListPurchPrecID,C305)</f>
        <v>PP8</v>
      </c>
      <c r="T305" s="128"/>
      <c r="W305" s="104" t="s">
        <v>1330</v>
      </c>
      <c r="X305" s="155" t="b">
        <f>AND(CNTR_HasEntriesA,G305="")</f>
        <v>0</v>
      </c>
    </row>
    <row r="306" spans="3:24" ht="12.75" customHeight="1" x14ac:dyDescent="0.25">
      <c r="D306" s="103"/>
      <c r="E306" s="98"/>
      <c r="T306" s="128"/>
      <c r="W306" s="104"/>
    </row>
    <row r="307" spans="3:24" ht="12.75" customHeight="1" x14ac:dyDescent="0.25">
      <c r="D307" s="120" t="s">
        <v>1331</v>
      </c>
      <c r="E307" s="98" t="str">
        <f>Translations!$B$276</f>
        <v>Total purchased levels:</v>
      </c>
      <c r="H307" s="156" t="str">
        <f>Translations!$B$244</f>
        <v>Production route</v>
      </c>
      <c r="K307" s="157" t="str">
        <f>Translations!$B$221</f>
        <v>Unit</v>
      </c>
      <c r="L307" s="157" t="str">
        <f>Translations!$B$245</f>
        <v>Amounts</v>
      </c>
      <c r="T307" s="128"/>
    </row>
    <row r="308" spans="3:24" ht="12.75" customHeight="1" x14ac:dyDescent="0.25">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x14ac:dyDescent="0.25">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x14ac:dyDescent="0.25">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x14ac:dyDescent="0.25">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x14ac:dyDescent="0.25">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x14ac:dyDescent="0.25">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x14ac:dyDescent="0.25">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x14ac:dyDescent="0.25">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x14ac:dyDescent="0.25">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x14ac:dyDescent="0.25">
      <c r="D317" s="137"/>
      <c r="E317" s="98"/>
      <c r="T317" s="128"/>
    </row>
    <row r="318" spans="3:24" ht="12.75" customHeight="1" x14ac:dyDescent="0.25">
      <c r="D318" s="120" t="s">
        <v>1253</v>
      </c>
      <c r="E318" s="98" t="str">
        <f>Translations!$B$278</f>
        <v>Consumed in "production processes" within the installation:</v>
      </c>
      <c r="F318" s="98"/>
      <c r="G318" s="98"/>
      <c r="H318" s="98"/>
      <c r="I318" s="98"/>
      <c r="J318" s="98"/>
      <c r="K318" s="120" t="str">
        <f>Translations!$B$221</f>
        <v>Unit</v>
      </c>
      <c r="L318" s="120" t="str">
        <f>Translations!$B$245</f>
        <v>Amounts</v>
      </c>
      <c r="S318" s="126" t="s">
        <v>1332</v>
      </c>
      <c r="T318" s="128"/>
    </row>
    <row r="319" spans="3:24" ht="12.75" customHeight="1" x14ac:dyDescent="0.25">
      <c r="D319" s="174">
        <v>1</v>
      </c>
      <c r="E319" s="175" t="str">
        <f t="shared" ref="E319:E328" si="37">IF(INDEX(CNTR_List_ExistProdProcNames,S319)=CONST_NA,"",INDEX(CNTR_List_ExistProdProcNames,S319))</f>
        <v/>
      </c>
      <c r="F319" s="176"/>
      <c r="G319" s="176"/>
      <c r="H319" s="176"/>
      <c r="I319" s="176"/>
      <c r="J319" s="177"/>
      <c r="K319" s="160" t="str">
        <f>IF(E319="","",K316)</f>
        <v/>
      </c>
      <c r="L319" s="28"/>
      <c r="O319" s="161"/>
      <c r="R319" s="102" t="str">
        <f>CONST_PrecursorToGoodInput&amp;G305 &amp;"_"&amp;E319</f>
        <v>PrecToGood__</v>
      </c>
      <c r="S319" s="105">
        <f>D319</f>
        <v>1</v>
      </c>
      <c r="T319" s="127" t="str">
        <f>IF(G305="","",L319)</f>
        <v/>
      </c>
      <c r="V319" s="162" t="str">
        <f>IF(AND(G305&lt;&gt;"",E319&lt;&gt;"",L319&lt;&gt;""),TRUE,IF(AND(G305&lt;&gt;"",E319&lt;&gt;"",L319="",X319=FALSE),CONST_ErrorOrMissing&amp;C305,CONST_NA))</f>
        <v>n.a.</v>
      </c>
      <c r="W319" s="89" t="s">
        <v>1333</v>
      </c>
      <c r="X319" s="102" t="b">
        <f>IF(G305="",FALSE,E319="")</f>
        <v>0</v>
      </c>
    </row>
    <row r="320" spans="3:24" ht="12.75" customHeight="1" x14ac:dyDescent="0.25">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x14ac:dyDescent="0.25">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x14ac:dyDescent="0.25">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x14ac:dyDescent="0.25">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x14ac:dyDescent="0.25">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x14ac:dyDescent="0.25">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x14ac:dyDescent="0.25">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x14ac:dyDescent="0.25">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x14ac:dyDescent="0.25">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x14ac:dyDescent="0.25">
      <c r="D329" s="120" t="s">
        <v>1254</v>
      </c>
      <c r="E329" s="98" t="str">
        <f>Translations!$B$252</f>
        <v>Consumed for non-CBAM goods within the installation:</v>
      </c>
      <c r="F329" s="98"/>
      <c r="G329" s="98"/>
      <c r="H329" s="98"/>
      <c r="I329" s="98"/>
      <c r="J329" s="98"/>
      <c r="K329" s="171" t="str">
        <f>K316</f>
        <v/>
      </c>
      <c r="L329" s="220"/>
      <c r="T329" s="128"/>
    </row>
    <row r="330" spans="3:24" ht="12.75" customHeight="1" x14ac:dyDescent="0.25">
      <c r="D330" s="120" t="s">
        <v>1334</v>
      </c>
      <c r="E330" s="143" t="str">
        <f>Translations!$B$253</f>
        <v>Control:</v>
      </c>
      <c r="F330" s="172"/>
      <c r="G330" s="172"/>
      <c r="H330" s="172"/>
      <c r="I330" s="172"/>
      <c r="J330" s="172"/>
      <c r="K330" s="171" t="str">
        <f>K329</f>
        <v/>
      </c>
      <c r="L330" s="121" t="str">
        <f>IF(G305="","",SUM(L316)-SUM(L319:L329))</f>
        <v/>
      </c>
      <c r="T330" s="128"/>
    </row>
    <row r="331" spans="3:24" ht="12.75" customHeight="1" thickBot="1" x14ac:dyDescent="0.3">
      <c r="T331" s="128"/>
    </row>
    <row r="332" spans="3:24" ht="12.75" customHeight="1" x14ac:dyDescent="0.25">
      <c r="C332" s="188"/>
      <c r="D332" s="189"/>
      <c r="E332" s="190"/>
      <c r="F332" s="191"/>
      <c r="G332" s="191"/>
      <c r="H332" s="191"/>
      <c r="I332" s="191"/>
      <c r="J332" s="191"/>
      <c r="K332" s="191"/>
      <c r="L332" s="191"/>
      <c r="M332" s="191"/>
      <c r="N332" s="192"/>
      <c r="T332" s="128"/>
    </row>
    <row r="333" spans="3:24" ht="15" customHeight="1" x14ac:dyDescent="0.25">
      <c r="C333" s="193"/>
      <c r="D333" s="194" t="str">
        <f>Translations!$B$279</f>
        <v>Specific embedded emissions:</v>
      </c>
      <c r="E333" s="195"/>
      <c r="F333" s="196"/>
      <c r="G333" s="196"/>
      <c r="H333" s="196"/>
      <c r="I333" s="196"/>
      <c r="J333" s="1201" t="str">
        <f>IF(G305="","",G305)</f>
        <v/>
      </c>
      <c r="K333" s="1201"/>
      <c r="L333" s="1201"/>
      <c r="M333" s="1201"/>
      <c r="N333" s="197"/>
      <c r="T333" s="128"/>
    </row>
    <row r="334" spans="3:24" ht="5.0999999999999996" customHeight="1" x14ac:dyDescent="0.25">
      <c r="C334" s="193"/>
      <c r="D334" s="198"/>
      <c r="E334" s="199"/>
      <c r="F334" s="196"/>
      <c r="G334" s="196"/>
      <c r="H334" s="196"/>
      <c r="I334" s="196"/>
      <c r="J334" s="196"/>
      <c r="K334" s="196"/>
      <c r="L334" s="196"/>
      <c r="M334" s="196"/>
      <c r="N334" s="197"/>
      <c r="T334" s="128"/>
    </row>
    <row r="335" spans="3:24" ht="12.75" customHeight="1" x14ac:dyDescent="0.25">
      <c r="C335" s="193"/>
      <c r="D335" s="200" t="s">
        <v>1335</v>
      </c>
      <c r="E335" s="199" t="str">
        <f>Translations!$B$280</f>
        <v>Emissions embedded in this purchased precursor</v>
      </c>
      <c r="F335" s="199"/>
      <c r="G335" s="199"/>
      <c r="H335" s="199"/>
      <c r="I335" s="199"/>
      <c r="J335" s="199"/>
      <c r="K335" s="199"/>
      <c r="L335" s="199"/>
      <c r="M335" s="199"/>
      <c r="N335" s="197"/>
      <c r="T335" s="128"/>
      <c r="V335" s="173"/>
    </row>
    <row r="336" spans="3:24" ht="12.75" customHeight="1" x14ac:dyDescent="0.25">
      <c r="C336" s="193"/>
      <c r="D336" s="200"/>
      <c r="E336" s="1202" t="str">
        <f>Translations!$B$281</f>
        <v>Please enter here the values and sources for the specific embedded direct and indirect emissions, as obtained from the supplier.</v>
      </c>
      <c r="F336" s="1202"/>
      <c r="G336" s="1202"/>
      <c r="H336" s="1202"/>
      <c r="I336" s="1202"/>
      <c r="J336" s="1202"/>
      <c r="K336" s="1202"/>
      <c r="L336" s="1202"/>
      <c r="M336" s="1202"/>
      <c r="N336" s="392"/>
      <c r="T336" s="128"/>
    </row>
    <row r="337" spans="2:24" ht="12.75" customHeight="1" x14ac:dyDescent="0.25">
      <c r="C337" s="193"/>
      <c r="D337" s="200"/>
      <c r="E337" s="1202" t="str">
        <f>Translations!$B$282</f>
        <v>For the SEE (direct), the 'Type of value' relates to whether the direct emissions are measured, or whether a default value provided by the European Commission was applied.</v>
      </c>
      <c r="F337" s="1202"/>
      <c r="G337" s="1202"/>
      <c r="H337" s="1202"/>
      <c r="I337" s="1202"/>
      <c r="J337" s="1202"/>
      <c r="K337" s="1202"/>
      <c r="L337" s="1202"/>
      <c r="M337" s="1202"/>
      <c r="N337" s="392"/>
      <c r="T337" s="128"/>
    </row>
    <row r="338" spans="2:24" ht="12.75" customHeight="1" x14ac:dyDescent="0.25">
      <c r="C338" s="193"/>
      <c r="D338" s="200"/>
      <c r="E338" s="1202" t="str">
        <f>Translations!$B$283</f>
        <v>In order to obtain these data and information, you may want to ask your supplier to fill in an empty copy of this communication template.</v>
      </c>
      <c r="F338" s="1202"/>
      <c r="G338" s="1202"/>
      <c r="H338" s="1202"/>
      <c r="I338" s="1202"/>
      <c r="J338" s="1202"/>
      <c r="K338" s="1202"/>
      <c r="L338" s="1202"/>
      <c r="M338" s="1202"/>
      <c r="N338" s="392"/>
      <c r="T338" s="128"/>
    </row>
    <row r="339" spans="2:24" ht="12.75" customHeight="1" x14ac:dyDescent="0.25">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x14ac:dyDescent="0.25">
      <c r="C340" s="193"/>
      <c r="D340" s="198" t="s">
        <v>1238</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x14ac:dyDescent="0.25">
      <c r="C341" s="193"/>
      <c r="D341" s="198" t="s">
        <v>1239</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x14ac:dyDescent="0.25">
      <c r="C342" s="193"/>
      <c r="D342" s="198"/>
      <c r="E342" s="196"/>
      <c r="F342" s="196"/>
      <c r="G342" s="196"/>
      <c r="H342" s="196"/>
      <c r="I342" s="196"/>
      <c r="J342" s="196"/>
      <c r="K342" s="196"/>
      <c r="L342" s="196"/>
      <c r="M342" s="196"/>
      <c r="N342" s="197"/>
      <c r="T342" s="128"/>
      <c r="U342" s="126"/>
      <c r="V342" s="173"/>
    </row>
    <row r="343" spans="2:24" ht="12.75" customHeight="1" x14ac:dyDescent="0.25">
      <c r="C343" s="193"/>
      <c r="D343" s="198" t="s">
        <v>1240</v>
      </c>
      <c r="E343" s="202" t="str">
        <f>Translations!$B$1858</f>
        <v>Justification for use of default values (if relevant):</v>
      </c>
      <c r="F343" s="202"/>
      <c r="G343" s="202"/>
      <c r="H343" s="202"/>
      <c r="I343" s="202"/>
      <c r="J343" s="202"/>
      <c r="K343" s="1203"/>
      <c r="L343" s="1203"/>
      <c r="M343" s="1203"/>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x14ac:dyDescent="0.3">
      <c r="C344" s="208"/>
      <c r="D344" s="209"/>
      <c r="E344" s="210"/>
      <c r="F344" s="211"/>
      <c r="G344" s="211"/>
      <c r="H344" s="211"/>
      <c r="I344" s="211"/>
      <c r="J344" s="211"/>
      <c r="K344" s="211"/>
      <c r="L344" s="211"/>
      <c r="M344" s="211"/>
      <c r="N344" s="212"/>
      <c r="T344" s="128"/>
    </row>
    <row r="345" spans="2:24" ht="12.75" customHeight="1" thickBot="1" x14ac:dyDescent="0.3">
      <c r="T345" s="128"/>
    </row>
    <row r="346" spans="2:24" ht="12.75" customHeight="1" thickBot="1" x14ac:dyDescent="0.3">
      <c r="B346" s="150"/>
      <c r="C346" s="150"/>
      <c r="D346" s="150"/>
      <c r="E346" s="150"/>
      <c r="F346" s="150"/>
      <c r="G346" s="150"/>
      <c r="H346" s="150"/>
      <c r="I346" s="150"/>
      <c r="J346" s="150"/>
      <c r="K346" s="150"/>
      <c r="L346" s="150"/>
      <c r="M346" s="150"/>
      <c r="N346" s="150"/>
      <c r="O346" s="150"/>
      <c r="T346" s="128"/>
    </row>
    <row r="347" spans="2:24" ht="18" customHeight="1" thickBot="1" x14ac:dyDescent="0.3">
      <c r="C347" s="152">
        <f>C305+1</f>
        <v>9</v>
      </c>
      <c r="D347" s="153" t="str">
        <f>CONST_PurchPrecursor &amp; " " &amp; C347 &amp; ":"</f>
        <v>Purchased precursor 9:</v>
      </c>
      <c r="G347" s="1191" t="str">
        <f>IF(INDEX(CNTR_List_ExistPurchPrecNames,MATCH(R347,CNTR_ListPurchPrecID,0))=CONST_NA,"",INDEX(CNTR_List_ExistPurchPrecNames,MATCH(R347,CNTR_ListPurchPrecID,0)))</f>
        <v/>
      </c>
      <c r="H347" s="1192"/>
      <c r="I347" s="1192"/>
      <c r="J347" s="1192"/>
      <c r="K347" s="1193"/>
      <c r="L347" s="1194" t="str">
        <f>IF(INDEX(CNTR_List_ExistPurchPrec,MATCH(R347,CNTR_ListPurchPrecID,0))=CONST_NA,"",INDEX(CNTR_List_ExistPurchPrec,MATCH(R347,CNTR_ListPurchPrecID,0)))</f>
        <v/>
      </c>
      <c r="M347" s="1195"/>
      <c r="N347" s="1196"/>
      <c r="R347" s="154" t="str">
        <f>INDEX(CNTR_ListPurchPrecID,C347)</f>
        <v>PP9</v>
      </c>
      <c r="T347" s="128"/>
      <c r="W347" s="104" t="s">
        <v>1330</v>
      </c>
      <c r="X347" s="155" t="b">
        <f>AND(CNTR_HasEntriesA,G347="")</f>
        <v>0</v>
      </c>
    </row>
    <row r="348" spans="2:24" ht="12.75" customHeight="1" x14ac:dyDescent="0.25">
      <c r="D348" s="103"/>
      <c r="E348" s="98"/>
      <c r="T348" s="128"/>
      <c r="W348" s="104"/>
    </row>
    <row r="349" spans="2:24" ht="12.75" customHeight="1" x14ac:dyDescent="0.25">
      <c r="D349" s="120" t="s">
        <v>1331</v>
      </c>
      <c r="E349" s="98" t="str">
        <f>Translations!$B$276</f>
        <v>Total purchased levels:</v>
      </c>
      <c r="H349" s="156" t="str">
        <f>Translations!$B$244</f>
        <v>Production route</v>
      </c>
      <c r="K349" s="157" t="str">
        <f>Translations!$B$221</f>
        <v>Unit</v>
      </c>
      <c r="L349" s="157" t="str">
        <f>Translations!$B$245</f>
        <v>Amounts</v>
      </c>
      <c r="T349" s="128"/>
    </row>
    <row r="350" spans="2:24" ht="12.75" customHeight="1" x14ac:dyDescent="0.25">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x14ac:dyDescent="0.25">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x14ac:dyDescent="0.25">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x14ac:dyDescent="0.25">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x14ac:dyDescent="0.25">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x14ac:dyDescent="0.25">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x14ac:dyDescent="0.25">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x14ac:dyDescent="0.25">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x14ac:dyDescent="0.25">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x14ac:dyDescent="0.25">
      <c r="D359" s="137"/>
      <c r="E359" s="98"/>
      <c r="T359" s="128"/>
    </row>
    <row r="360" spans="4:24" ht="12.75" customHeight="1" x14ac:dyDescent="0.25">
      <c r="D360" s="120" t="s">
        <v>1253</v>
      </c>
      <c r="E360" s="98" t="str">
        <f>Translations!$B$278</f>
        <v>Consumed in "production processes" within the installation:</v>
      </c>
      <c r="F360" s="98"/>
      <c r="G360" s="98"/>
      <c r="H360" s="98"/>
      <c r="I360" s="98"/>
      <c r="J360" s="98"/>
      <c r="K360" s="120" t="str">
        <f>Translations!$B$221</f>
        <v>Unit</v>
      </c>
      <c r="L360" s="120" t="str">
        <f>Translations!$B$245</f>
        <v>Amounts</v>
      </c>
      <c r="S360" s="126" t="s">
        <v>1332</v>
      </c>
      <c r="T360" s="128"/>
    </row>
    <row r="361" spans="4:24" ht="12.75" customHeight="1" x14ac:dyDescent="0.25">
      <c r="D361" s="174">
        <v>1</v>
      </c>
      <c r="E361" s="175" t="str">
        <f t="shared" ref="E361:E370" si="42">IF(INDEX(CNTR_List_ExistProdProcNames,S361)=CONST_NA,"",INDEX(CNTR_List_ExistProdProcNames,S361))</f>
        <v/>
      </c>
      <c r="F361" s="176"/>
      <c r="G361" s="176"/>
      <c r="H361" s="176"/>
      <c r="I361" s="176"/>
      <c r="J361" s="177"/>
      <c r="K361" s="160" t="str">
        <f>IF(E361="","",K358)</f>
        <v/>
      </c>
      <c r="L361" s="28"/>
      <c r="O361" s="161"/>
      <c r="R361" s="102" t="str">
        <f>CONST_PrecursorToGoodInput&amp;G347 &amp;"_"&amp;E361</f>
        <v>PrecToGood__</v>
      </c>
      <c r="S361" s="105">
        <f>D361</f>
        <v>1</v>
      </c>
      <c r="T361" s="127" t="str">
        <f>IF(G347="","",L361)</f>
        <v/>
      </c>
      <c r="V361" s="162" t="str">
        <f>IF(AND(G347&lt;&gt;"",E361&lt;&gt;"",L361&lt;&gt;""),TRUE,IF(AND(G347&lt;&gt;"",E361&lt;&gt;"",L361="",X361=FALSE),CONST_ErrorOrMissing&amp;C347,CONST_NA))</f>
        <v>n.a.</v>
      </c>
      <c r="W361" s="89" t="s">
        <v>1333</v>
      </c>
      <c r="X361" s="102" t="b">
        <f>IF(G347="",FALSE,E361="")</f>
        <v>0</v>
      </c>
    </row>
    <row r="362" spans="4:24" ht="12.75" customHeight="1" x14ac:dyDescent="0.25">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x14ac:dyDescent="0.25">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x14ac:dyDescent="0.25">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x14ac:dyDescent="0.25">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x14ac:dyDescent="0.25">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x14ac:dyDescent="0.25">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x14ac:dyDescent="0.25">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x14ac:dyDescent="0.25">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x14ac:dyDescent="0.25">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x14ac:dyDescent="0.25">
      <c r="D371" s="120" t="s">
        <v>1254</v>
      </c>
      <c r="E371" s="98" t="str">
        <f>Translations!$B$252</f>
        <v>Consumed for non-CBAM goods within the installation:</v>
      </c>
      <c r="F371" s="98"/>
      <c r="G371" s="98"/>
      <c r="H371" s="98"/>
      <c r="I371" s="98"/>
      <c r="J371" s="98"/>
      <c r="K371" s="171" t="str">
        <f>K358</f>
        <v/>
      </c>
      <c r="L371" s="220"/>
      <c r="T371" s="128"/>
    </row>
    <row r="372" spans="3:24" ht="12.75" customHeight="1" x14ac:dyDescent="0.25">
      <c r="D372" s="120" t="s">
        <v>1334</v>
      </c>
      <c r="E372" s="143" t="str">
        <f>Translations!$B$253</f>
        <v>Control:</v>
      </c>
      <c r="F372" s="172"/>
      <c r="G372" s="172"/>
      <c r="H372" s="172"/>
      <c r="I372" s="172"/>
      <c r="J372" s="172"/>
      <c r="K372" s="171" t="str">
        <f>K371</f>
        <v/>
      </c>
      <c r="L372" s="121" t="str">
        <f>IF(G347="","",SUM(L358)-SUM(L361:L371))</f>
        <v/>
      </c>
      <c r="T372" s="128"/>
    </row>
    <row r="373" spans="3:24" ht="12.75" customHeight="1" thickBot="1" x14ac:dyDescent="0.3">
      <c r="T373" s="128"/>
    </row>
    <row r="374" spans="3:24" ht="12.75" customHeight="1" x14ac:dyDescent="0.25">
      <c r="C374" s="188"/>
      <c r="D374" s="189"/>
      <c r="E374" s="190"/>
      <c r="F374" s="191"/>
      <c r="G374" s="191"/>
      <c r="H374" s="191"/>
      <c r="I374" s="191"/>
      <c r="J374" s="191"/>
      <c r="K374" s="191"/>
      <c r="L374" s="191"/>
      <c r="M374" s="191"/>
      <c r="N374" s="192"/>
      <c r="T374" s="128"/>
    </row>
    <row r="375" spans="3:24" ht="15" customHeight="1" x14ac:dyDescent="0.25">
      <c r="C375" s="193"/>
      <c r="D375" s="194" t="str">
        <f>Translations!$B$279</f>
        <v>Specific embedded emissions:</v>
      </c>
      <c r="E375" s="195"/>
      <c r="F375" s="196"/>
      <c r="G375" s="196"/>
      <c r="H375" s="196"/>
      <c r="I375" s="196"/>
      <c r="J375" s="1201" t="str">
        <f>IF(G347="","",G347)</f>
        <v/>
      </c>
      <c r="K375" s="1201"/>
      <c r="L375" s="1201"/>
      <c r="M375" s="1201"/>
      <c r="N375" s="197"/>
      <c r="T375" s="128"/>
    </row>
    <row r="376" spans="3:24" ht="5.0999999999999996" customHeight="1" x14ac:dyDescent="0.25">
      <c r="C376" s="193"/>
      <c r="D376" s="198"/>
      <c r="E376" s="199"/>
      <c r="F376" s="196"/>
      <c r="G376" s="196"/>
      <c r="H376" s="196"/>
      <c r="I376" s="196"/>
      <c r="J376" s="196"/>
      <c r="K376" s="196"/>
      <c r="L376" s="196"/>
      <c r="M376" s="196"/>
      <c r="N376" s="197"/>
      <c r="T376" s="128"/>
    </row>
    <row r="377" spans="3:24" ht="12.75" customHeight="1" x14ac:dyDescent="0.25">
      <c r="C377" s="193"/>
      <c r="D377" s="200" t="s">
        <v>1335</v>
      </c>
      <c r="E377" s="199" t="str">
        <f>Translations!$B$280</f>
        <v>Emissions embedded in this purchased precursor</v>
      </c>
      <c r="F377" s="199"/>
      <c r="G377" s="199"/>
      <c r="H377" s="199"/>
      <c r="I377" s="199"/>
      <c r="J377" s="199"/>
      <c r="K377" s="199"/>
      <c r="L377" s="199"/>
      <c r="M377" s="199"/>
      <c r="N377" s="197"/>
      <c r="T377" s="128"/>
      <c r="V377" s="173"/>
    </row>
    <row r="378" spans="3:24" ht="12.75" customHeight="1" x14ac:dyDescent="0.25">
      <c r="C378" s="193"/>
      <c r="D378" s="200"/>
      <c r="E378" s="1202" t="str">
        <f>Translations!$B$281</f>
        <v>Please enter here the values and sources for the specific embedded direct and indirect emissions, as obtained from the supplier.</v>
      </c>
      <c r="F378" s="1202"/>
      <c r="G378" s="1202"/>
      <c r="H378" s="1202"/>
      <c r="I378" s="1202"/>
      <c r="J378" s="1202"/>
      <c r="K378" s="1202"/>
      <c r="L378" s="1202"/>
      <c r="M378" s="1202"/>
      <c r="N378" s="392"/>
      <c r="T378" s="128"/>
    </row>
    <row r="379" spans="3:24" ht="12.75" customHeight="1" x14ac:dyDescent="0.25">
      <c r="C379" s="193"/>
      <c r="D379" s="200"/>
      <c r="E379" s="1202" t="str">
        <f>Translations!$B$282</f>
        <v>For the SEE (direct), the 'Type of value' relates to whether the direct emissions are measured, or whether a default value provided by the European Commission was applied.</v>
      </c>
      <c r="F379" s="1202"/>
      <c r="G379" s="1202"/>
      <c r="H379" s="1202"/>
      <c r="I379" s="1202"/>
      <c r="J379" s="1202"/>
      <c r="K379" s="1202"/>
      <c r="L379" s="1202"/>
      <c r="M379" s="1202"/>
      <c r="N379" s="392"/>
      <c r="T379" s="128"/>
    </row>
    <row r="380" spans="3:24" ht="12.75" customHeight="1" x14ac:dyDescent="0.25">
      <c r="C380" s="193"/>
      <c r="D380" s="200"/>
      <c r="E380" s="1202" t="str">
        <f>Translations!$B$283</f>
        <v>In order to obtain these data and information, you may want to ask your supplier to fill in an empty copy of this communication template.</v>
      </c>
      <c r="F380" s="1202"/>
      <c r="G380" s="1202"/>
      <c r="H380" s="1202"/>
      <c r="I380" s="1202"/>
      <c r="J380" s="1202"/>
      <c r="K380" s="1202"/>
      <c r="L380" s="1202"/>
      <c r="M380" s="1202"/>
      <c r="N380" s="392"/>
      <c r="T380" s="128"/>
    </row>
    <row r="381" spans="3:24" ht="12.75" customHeight="1" x14ac:dyDescent="0.25">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x14ac:dyDescent="0.25">
      <c r="C382" s="193"/>
      <c r="D382" s="198" t="s">
        <v>1238</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x14ac:dyDescent="0.25">
      <c r="C383" s="193"/>
      <c r="D383" s="198" t="s">
        <v>1239</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x14ac:dyDescent="0.25">
      <c r="C384" s="193"/>
      <c r="D384" s="198"/>
      <c r="E384" s="196"/>
      <c r="F384" s="196"/>
      <c r="G384" s="196"/>
      <c r="H384" s="196"/>
      <c r="I384" s="196"/>
      <c r="J384" s="196"/>
      <c r="K384" s="196"/>
      <c r="L384" s="196"/>
      <c r="M384" s="196"/>
      <c r="N384" s="197"/>
      <c r="T384" s="128"/>
      <c r="U384" s="126"/>
      <c r="V384" s="173"/>
    </row>
    <row r="385" spans="2:24" ht="12.75" customHeight="1" x14ac:dyDescent="0.25">
      <c r="C385" s="193"/>
      <c r="D385" s="198" t="s">
        <v>1240</v>
      </c>
      <c r="E385" s="202" t="str">
        <f>Translations!$B$1858</f>
        <v>Justification for use of default values (if relevant):</v>
      </c>
      <c r="F385" s="202"/>
      <c r="G385" s="202"/>
      <c r="H385" s="202"/>
      <c r="I385" s="202"/>
      <c r="J385" s="202"/>
      <c r="K385" s="1203"/>
      <c r="L385" s="1203"/>
      <c r="M385" s="1203"/>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x14ac:dyDescent="0.3">
      <c r="C386" s="208"/>
      <c r="D386" s="209"/>
      <c r="E386" s="210"/>
      <c r="F386" s="211"/>
      <c r="G386" s="211"/>
      <c r="H386" s="211"/>
      <c r="I386" s="211"/>
      <c r="J386" s="211"/>
      <c r="K386" s="211"/>
      <c r="L386" s="211"/>
      <c r="M386" s="211"/>
      <c r="N386" s="212"/>
      <c r="T386" s="128"/>
    </row>
    <row r="387" spans="2:24" ht="12.75" customHeight="1" thickBot="1" x14ac:dyDescent="0.3">
      <c r="T387" s="128"/>
    </row>
    <row r="388" spans="2:24" ht="12.75" customHeight="1" thickBot="1" x14ac:dyDescent="0.3">
      <c r="B388" s="150"/>
      <c r="C388" s="150"/>
      <c r="D388" s="150"/>
      <c r="E388" s="150"/>
      <c r="F388" s="150"/>
      <c r="G388" s="150"/>
      <c r="H388" s="150"/>
      <c r="I388" s="150"/>
      <c r="J388" s="150"/>
      <c r="K388" s="150"/>
      <c r="L388" s="150"/>
      <c r="M388" s="150"/>
      <c r="N388" s="150"/>
      <c r="O388" s="150"/>
      <c r="T388" s="128"/>
    </row>
    <row r="389" spans="2:24" ht="18" customHeight="1" thickBot="1" x14ac:dyDescent="0.3">
      <c r="C389" s="152">
        <f>C347+1</f>
        <v>10</v>
      </c>
      <c r="D389" s="153" t="str">
        <f>CONST_PurchPrecursor &amp; " " &amp; C389 &amp; ":"</f>
        <v>Purchased precursor 10:</v>
      </c>
      <c r="G389" s="1191" t="str">
        <f>IF(INDEX(CNTR_List_ExistPurchPrecNames,MATCH(R389,CNTR_ListPurchPrecID,0))=CONST_NA,"",INDEX(CNTR_List_ExistPurchPrecNames,MATCH(R389,CNTR_ListPurchPrecID,0)))</f>
        <v/>
      </c>
      <c r="H389" s="1192"/>
      <c r="I389" s="1192"/>
      <c r="J389" s="1192"/>
      <c r="K389" s="1193"/>
      <c r="L389" s="1194" t="str">
        <f>IF(INDEX(CNTR_List_ExistPurchPrec,MATCH(R389,CNTR_ListPurchPrecID,0))=CONST_NA,"",INDEX(CNTR_List_ExistPurchPrec,MATCH(R389,CNTR_ListPurchPrecID,0)))</f>
        <v/>
      </c>
      <c r="M389" s="1195"/>
      <c r="N389" s="1196"/>
      <c r="R389" s="154" t="str">
        <f>INDEX(CNTR_ListPurchPrecID,C389)</f>
        <v>PP10</v>
      </c>
      <c r="T389" s="128"/>
      <c r="W389" s="104" t="s">
        <v>1330</v>
      </c>
      <c r="X389" s="155" t="b">
        <f>AND(CNTR_HasEntriesA,G389="")</f>
        <v>0</v>
      </c>
    </row>
    <row r="390" spans="2:24" ht="12.75" customHeight="1" x14ac:dyDescent="0.25">
      <c r="D390" s="103"/>
      <c r="E390" s="98"/>
      <c r="T390" s="128"/>
      <c r="W390" s="104"/>
    </row>
    <row r="391" spans="2:24" ht="12.75" customHeight="1" x14ac:dyDescent="0.25">
      <c r="D391" s="120" t="s">
        <v>1331</v>
      </c>
      <c r="E391" s="98" t="str">
        <f>Translations!$B$276</f>
        <v>Total purchased levels:</v>
      </c>
      <c r="H391" s="156" t="str">
        <f>Translations!$B$244</f>
        <v>Production route</v>
      </c>
      <c r="K391" s="157" t="str">
        <f>Translations!$B$221</f>
        <v>Unit</v>
      </c>
      <c r="L391" s="157" t="str">
        <f>Translations!$B$245</f>
        <v>Amounts</v>
      </c>
      <c r="T391" s="128"/>
    </row>
    <row r="392" spans="2:24" ht="12.75" customHeight="1" x14ac:dyDescent="0.25">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x14ac:dyDescent="0.25">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x14ac:dyDescent="0.25">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x14ac:dyDescent="0.25">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x14ac:dyDescent="0.25">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x14ac:dyDescent="0.25">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x14ac:dyDescent="0.25">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x14ac:dyDescent="0.25">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x14ac:dyDescent="0.25">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x14ac:dyDescent="0.25">
      <c r="D401" s="137"/>
      <c r="E401" s="98"/>
      <c r="T401" s="128"/>
    </row>
    <row r="402" spans="3:24" ht="12.75" customHeight="1" x14ac:dyDescent="0.25">
      <c r="D402" s="120" t="s">
        <v>1253</v>
      </c>
      <c r="E402" s="98" t="str">
        <f>Translations!$B$278</f>
        <v>Consumed in "production processes" within the installation:</v>
      </c>
      <c r="F402" s="98"/>
      <c r="G402" s="98"/>
      <c r="H402" s="98"/>
      <c r="I402" s="98"/>
      <c r="J402" s="98"/>
      <c r="K402" s="120" t="str">
        <f>Translations!$B$221</f>
        <v>Unit</v>
      </c>
      <c r="L402" s="120" t="str">
        <f>Translations!$B$245</f>
        <v>Amounts</v>
      </c>
      <c r="S402" s="126" t="s">
        <v>1332</v>
      </c>
      <c r="T402" s="128"/>
    </row>
    <row r="403" spans="3:24" ht="12.75" customHeight="1" x14ac:dyDescent="0.25">
      <c r="D403" s="174">
        <v>1</v>
      </c>
      <c r="E403" s="175" t="str">
        <f t="shared" ref="E403:E412" si="47">IF(INDEX(CNTR_List_ExistProdProcNames,S403)=CONST_NA,"",INDEX(CNTR_List_ExistProdProcNames,S403))</f>
        <v/>
      </c>
      <c r="F403" s="176"/>
      <c r="G403" s="176"/>
      <c r="H403" s="176"/>
      <c r="I403" s="176"/>
      <c r="J403" s="177"/>
      <c r="K403" s="160" t="str">
        <f>IF(E403="","",K400)</f>
        <v/>
      </c>
      <c r="L403" s="28"/>
      <c r="O403" s="161"/>
      <c r="R403" s="102" t="str">
        <f>CONST_PrecursorToGoodInput&amp;G389 &amp;"_"&amp;E403</f>
        <v>PrecToGood__</v>
      </c>
      <c r="S403" s="105">
        <f>D403</f>
        <v>1</v>
      </c>
      <c r="T403" s="127" t="str">
        <f>IF(G389="","",L403)</f>
        <v/>
      </c>
      <c r="V403" s="162" t="str">
        <f>IF(AND(G389&lt;&gt;"",E403&lt;&gt;"",L403&lt;&gt;""),TRUE,IF(AND(G389&lt;&gt;"",E403&lt;&gt;"",L403="",X403=FALSE),CONST_ErrorOrMissing&amp;C389,CONST_NA))</f>
        <v>n.a.</v>
      </c>
      <c r="W403" s="89" t="s">
        <v>1333</v>
      </c>
      <c r="X403" s="102" t="b">
        <f>IF(G389="",FALSE,E403="")</f>
        <v>0</v>
      </c>
    </row>
    <row r="404" spans="3:24" ht="12.75" customHeight="1" x14ac:dyDescent="0.25">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x14ac:dyDescent="0.25">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x14ac:dyDescent="0.25">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x14ac:dyDescent="0.25">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x14ac:dyDescent="0.25">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x14ac:dyDescent="0.25">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x14ac:dyDescent="0.25">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x14ac:dyDescent="0.25">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x14ac:dyDescent="0.25">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x14ac:dyDescent="0.25">
      <c r="D413" s="120" t="s">
        <v>1254</v>
      </c>
      <c r="E413" s="98" t="str">
        <f>Translations!$B$252</f>
        <v>Consumed for non-CBAM goods within the installation:</v>
      </c>
      <c r="F413" s="98"/>
      <c r="G413" s="98"/>
      <c r="H413" s="98"/>
      <c r="I413" s="98"/>
      <c r="J413" s="98"/>
      <c r="K413" s="171" t="str">
        <f>K400</f>
        <v/>
      </c>
      <c r="L413" s="220"/>
      <c r="T413" s="128"/>
    </row>
    <row r="414" spans="3:24" ht="12.75" customHeight="1" x14ac:dyDescent="0.25">
      <c r="D414" s="120" t="s">
        <v>1334</v>
      </c>
      <c r="E414" s="143" t="str">
        <f>Translations!$B$253</f>
        <v>Control:</v>
      </c>
      <c r="F414" s="172"/>
      <c r="G414" s="172"/>
      <c r="H414" s="172"/>
      <c r="I414" s="172"/>
      <c r="J414" s="172"/>
      <c r="K414" s="171" t="str">
        <f>K413</f>
        <v/>
      </c>
      <c r="L414" s="121" t="str">
        <f>IF(G389="","",SUM(L400)-SUM(L403:L413))</f>
        <v/>
      </c>
      <c r="T414" s="128"/>
    </row>
    <row r="415" spans="3:24" ht="12.75" customHeight="1" thickBot="1" x14ac:dyDescent="0.3">
      <c r="T415" s="128"/>
    </row>
    <row r="416" spans="3:24" ht="12.75" customHeight="1" x14ac:dyDescent="0.25">
      <c r="C416" s="188"/>
      <c r="D416" s="189"/>
      <c r="E416" s="190"/>
      <c r="F416" s="191"/>
      <c r="G416" s="191"/>
      <c r="H416" s="191"/>
      <c r="I416" s="191"/>
      <c r="J416" s="191"/>
      <c r="K416" s="191"/>
      <c r="L416" s="191"/>
      <c r="M416" s="191"/>
      <c r="N416" s="192"/>
      <c r="T416" s="128"/>
    </row>
    <row r="417" spans="2:24" ht="15" customHeight="1" x14ac:dyDescent="0.25">
      <c r="C417" s="193"/>
      <c r="D417" s="194" t="str">
        <f>Translations!$B$279</f>
        <v>Specific embedded emissions:</v>
      </c>
      <c r="E417" s="195"/>
      <c r="F417" s="196"/>
      <c r="G417" s="196"/>
      <c r="H417" s="196"/>
      <c r="I417" s="196"/>
      <c r="J417" s="1201" t="str">
        <f>IF(G389="","",G389)</f>
        <v/>
      </c>
      <c r="K417" s="1201"/>
      <c r="L417" s="1201"/>
      <c r="M417" s="1201"/>
      <c r="N417" s="197"/>
      <c r="T417" s="128"/>
    </row>
    <row r="418" spans="2:24" ht="5.0999999999999996" customHeight="1" x14ac:dyDescent="0.25">
      <c r="C418" s="193"/>
      <c r="D418" s="198"/>
      <c r="E418" s="199"/>
      <c r="F418" s="196"/>
      <c r="G418" s="196"/>
      <c r="H418" s="196"/>
      <c r="I418" s="196"/>
      <c r="J418" s="196"/>
      <c r="K418" s="196"/>
      <c r="L418" s="196"/>
      <c r="M418" s="196"/>
      <c r="N418" s="197"/>
      <c r="T418" s="128"/>
    </row>
    <row r="419" spans="2:24" ht="12.75" customHeight="1" x14ac:dyDescent="0.25">
      <c r="C419" s="193"/>
      <c r="D419" s="200" t="s">
        <v>1335</v>
      </c>
      <c r="E419" s="199" t="str">
        <f>Translations!$B$280</f>
        <v>Emissions embedded in this purchased precursor</v>
      </c>
      <c r="F419" s="199"/>
      <c r="G419" s="199"/>
      <c r="H419" s="199"/>
      <c r="I419" s="199"/>
      <c r="J419" s="199"/>
      <c r="K419" s="199"/>
      <c r="L419" s="199"/>
      <c r="M419" s="199"/>
      <c r="N419" s="197"/>
      <c r="T419" s="128"/>
      <c r="V419" s="173"/>
    </row>
    <row r="420" spans="2:24" ht="12.75" customHeight="1" x14ac:dyDescent="0.25">
      <c r="C420" s="193"/>
      <c r="D420" s="200"/>
      <c r="E420" s="1202" t="str">
        <f>Translations!$B$281</f>
        <v>Please enter here the values and sources for the specific embedded direct and indirect emissions, as obtained from the supplier.</v>
      </c>
      <c r="F420" s="1202"/>
      <c r="G420" s="1202"/>
      <c r="H420" s="1202"/>
      <c r="I420" s="1202"/>
      <c r="J420" s="1202"/>
      <c r="K420" s="1202"/>
      <c r="L420" s="1202"/>
      <c r="M420" s="1202"/>
      <c r="N420" s="392"/>
      <c r="T420" s="128"/>
    </row>
    <row r="421" spans="2:24" ht="12.75" customHeight="1" x14ac:dyDescent="0.25">
      <c r="C421" s="193"/>
      <c r="D421" s="200"/>
      <c r="E421" s="1202" t="str">
        <f>Translations!$B$282</f>
        <v>For the SEE (direct), the 'Type of value' relates to whether the direct emissions are measured, or whether a default value provided by the European Commission was applied.</v>
      </c>
      <c r="F421" s="1202"/>
      <c r="G421" s="1202"/>
      <c r="H421" s="1202"/>
      <c r="I421" s="1202"/>
      <c r="J421" s="1202"/>
      <c r="K421" s="1202"/>
      <c r="L421" s="1202"/>
      <c r="M421" s="1202"/>
      <c r="N421" s="392"/>
      <c r="T421" s="128"/>
    </row>
    <row r="422" spans="2:24" ht="12.75" customHeight="1" x14ac:dyDescent="0.25">
      <c r="C422" s="193"/>
      <c r="D422" s="200"/>
      <c r="E422" s="1202" t="str">
        <f>Translations!$B$283</f>
        <v>In order to obtain these data and information, you may want to ask your supplier to fill in an empty copy of this communication template.</v>
      </c>
      <c r="F422" s="1202"/>
      <c r="G422" s="1202"/>
      <c r="H422" s="1202"/>
      <c r="I422" s="1202"/>
      <c r="J422" s="1202"/>
      <c r="K422" s="1202"/>
      <c r="L422" s="1202"/>
      <c r="M422" s="1202"/>
      <c r="N422" s="392"/>
      <c r="T422" s="128"/>
    </row>
    <row r="423" spans="2:24" ht="12.75" customHeight="1" x14ac:dyDescent="0.25">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x14ac:dyDescent="0.25">
      <c r="C424" s="193"/>
      <c r="D424" s="198" t="s">
        <v>1238</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x14ac:dyDescent="0.25">
      <c r="C425" s="193"/>
      <c r="D425" s="198" t="s">
        <v>1239</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x14ac:dyDescent="0.25">
      <c r="C426" s="193"/>
      <c r="D426" s="198"/>
      <c r="E426" s="196"/>
      <c r="F426" s="196"/>
      <c r="G426" s="196"/>
      <c r="H426" s="196"/>
      <c r="I426" s="196"/>
      <c r="J426" s="196"/>
      <c r="K426" s="196"/>
      <c r="L426" s="196"/>
      <c r="M426" s="196"/>
      <c r="N426" s="197"/>
      <c r="T426" s="128"/>
      <c r="U426" s="126"/>
      <c r="V426" s="173"/>
    </row>
    <row r="427" spans="2:24" ht="12.75" customHeight="1" x14ac:dyDescent="0.25">
      <c r="C427" s="193"/>
      <c r="D427" s="198" t="s">
        <v>1240</v>
      </c>
      <c r="E427" s="202" t="str">
        <f>Translations!$B$1858</f>
        <v>Justification for use of default values (if relevant):</v>
      </c>
      <c r="F427" s="202"/>
      <c r="G427" s="202"/>
      <c r="H427" s="202"/>
      <c r="I427" s="202"/>
      <c r="J427" s="202"/>
      <c r="K427" s="1203"/>
      <c r="L427" s="1203"/>
      <c r="M427" s="1203"/>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x14ac:dyDescent="0.3">
      <c r="C428" s="208"/>
      <c r="D428" s="209"/>
      <c r="E428" s="210"/>
      <c r="F428" s="211"/>
      <c r="G428" s="211"/>
      <c r="H428" s="211"/>
      <c r="I428" s="211"/>
      <c r="J428" s="211"/>
      <c r="K428" s="211"/>
      <c r="L428" s="211"/>
      <c r="M428" s="211"/>
      <c r="N428" s="212"/>
      <c r="T428" s="128"/>
    </row>
    <row r="429" spans="2:24" ht="12.75" customHeight="1" thickBot="1" x14ac:dyDescent="0.3">
      <c r="T429" s="128"/>
    </row>
    <row r="430" spans="2:24" ht="12.75" customHeight="1" thickBot="1" x14ac:dyDescent="0.3">
      <c r="B430" s="150"/>
      <c r="C430" s="150"/>
      <c r="D430" s="150"/>
      <c r="E430" s="150"/>
      <c r="F430" s="150"/>
      <c r="G430" s="150"/>
      <c r="H430" s="150"/>
      <c r="I430" s="150"/>
      <c r="J430" s="150"/>
      <c r="K430" s="150"/>
      <c r="L430" s="150"/>
      <c r="M430" s="150"/>
      <c r="N430" s="150"/>
      <c r="O430" s="150"/>
      <c r="T430" s="128"/>
    </row>
    <row r="431" spans="2:24" ht="18" customHeight="1" thickBot="1" x14ac:dyDescent="0.3">
      <c r="C431" s="152">
        <f>C389+1</f>
        <v>11</v>
      </c>
      <c r="D431" s="153" t="str">
        <f>CONST_PurchPrecursor &amp; " " &amp; C431 &amp; ":"</f>
        <v>Purchased precursor 11:</v>
      </c>
      <c r="G431" s="1191" t="str">
        <f>IF(INDEX(CNTR_List_ExistPurchPrecNames,MATCH(R431,CNTR_ListPurchPrecID,0))=CONST_NA,"",INDEX(CNTR_List_ExistPurchPrecNames,MATCH(R431,CNTR_ListPurchPrecID,0)))</f>
        <v/>
      </c>
      <c r="H431" s="1192"/>
      <c r="I431" s="1192"/>
      <c r="J431" s="1192"/>
      <c r="K431" s="1193"/>
      <c r="L431" s="1194" t="str">
        <f>IF(INDEX(CNTR_List_ExistPurchPrec,MATCH(R431,CNTR_ListPurchPrecID,0))=CONST_NA,"",INDEX(CNTR_List_ExistPurchPrec,MATCH(R431,CNTR_ListPurchPrecID,0)))</f>
        <v/>
      </c>
      <c r="M431" s="1195"/>
      <c r="N431" s="1196"/>
      <c r="R431" s="154" t="str">
        <f>INDEX(CNTR_ListPurchPrecID,C431)</f>
        <v>PP11</v>
      </c>
      <c r="T431" s="128"/>
      <c r="W431" s="104" t="s">
        <v>1330</v>
      </c>
      <c r="X431" s="155" t="b">
        <f>AND(CNTR_HasEntriesA,G431="")</f>
        <v>0</v>
      </c>
    </row>
    <row r="432" spans="2:24" ht="12.75" customHeight="1" x14ac:dyDescent="0.25">
      <c r="D432" s="103"/>
      <c r="E432" s="98"/>
      <c r="T432" s="128"/>
      <c r="W432" s="104"/>
    </row>
    <row r="433" spans="4:24" ht="12.75" customHeight="1" x14ac:dyDescent="0.25">
      <c r="D433" s="120" t="s">
        <v>1331</v>
      </c>
      <c r="E433" s="98" t="str">
        <f>Translations!$B$276</f>
        <v>Total purchased levels:</v>
      </c>
      <c r="H433" s="156" t="str">
        <f>Translations!$B$244</f>
        <v>Production route</v>
      </c>
      <c r="K433" s="157" t="str">
        <f>Translations!$B$221</f>
        <v>Unit</v>
      </c>
      <c r="L433" s="157" t="str">
        <f>Translations!$B$245</f>
        <v>Amounts</v>
      </c>
      <c r="T433" s="128"/>
    </row>
    <row r="434" spans="4:24" ht="12.75" customHeight="1" x14ac:dyDescent="0.25">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x14ac:dyDescent="0.25">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x14ac:dyDescent="0.25">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x14ac:dyDescent="0.25">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x14ac:dyDescent="0.25">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x14ac:dyDescent="0.25">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x14ac:dyDescent="0.25">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x14ac:dyDescent="0.25">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x14ac:dyDescent="0.25">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x14ac:dyDescent="0.25">
      <c r="D443" s="137"/>
      <c r="E443" s="98"/>
      <c r="T443" s="128"/>
    </row>
    <row r="444" spans="4:24" ht="12.75" customHeight="1" x14ac:dyDescent="0.25">
      <c r="D444" s="120" t="s">
        <v>1253</v>
      </c>
      <c r="E444" s="98" t="str">
        <f>Translations!$B$278</f>
        <v>Consumed in "production processes" within the installation:</v>
      </c>
      <c r="F444" s="98"/>
      <c r="G444" s="98"/>
      <c r="H444" s="98"/>
      <c r="I444" s="98"/>
      <c r="J444" s="98"/>
      <c r="K444" s="120" t="str">
        <f>Translations!$B$221</f>
        <v>Unit</v>
      </c>
      <c r="L444" s="120" t="str">
        <f>Translations!$B$245</f>
        <v>Amounts</v>
      </c>
      <c r="S444" s="126" t="s">
        <v>1332</v>
      </c>
      <c r="T444" s="128"/>
    </row>
    <row r="445" spans="4:24" ht="12.75" customHeight="1" x14ac:dyDescent="0.25">
      <c r="D445" s="174">
        <v>1</v>
      </c>
      <c r="E445" s="175" t="str">
        <f t="shared" ref="E445:E454" si="52">IF(INDEX(CNTR_List_ExistProdProcNames,S445)=CONST_NA,"",INDEX(CNTR_List_ExistProdProcNames,S445))</f>
        <v/>
      </c>
      <c r="F445" s="176"/>
      <c r="G445" s="176"/>
      <c r="H445" s="176"/>
      <c r="I445" s="176"/>
      <c r="J445" s="177"/>
      <c r="K445" s="160" t="str">
        <f>IF(E445="","",K442)</f>
        <v/>
      </c>
      <c r="L445" s="28"/>
      <c r="O445" s="161"/>
      <c r="R445" s="102" t="str">
        <f>CONST_PrecursorToGoodInput&amp;G431 &amp;"_"&amp;E445</f>
        <v>PrecToGood__</v>
      </c>
      <c r="S445" s="105">
        <f>D445</f>
        <v>1</v>
      </c>
      <c r="T445" s="127" t="str">
        <f>IF(G431="","",L445)</f>
        <v/>
      </c>
      <c r="V445" s="162" t="str">
        <f>IF(AND(G431&lt;&gt;"",E445&lt;&gt;"",L445&lt;&gt;""),TRUE,IF(AND(G431&lt;&gt;"",E445&lt;&gt;"",L445="",X445=FALSE),CONST_ErrorOrMissing&amp;C431,CONST_NA))</f>
        <v>n.a.</v>
      </c>
      <c r="W445" s="89" t="s">
        <v>1333</v>
      </c>
      <c r="X445" s="102" t="b">
        <f>IF(G431="",FALSE,E445="")</f>
        <v>0</v>
      </c>
    </row>
    <row r="446" spans="4:24" ht="12.75" customHeight="1" x14ac:dyDescent="0.25">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x14ac:dyDescent="0.25">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x14ac:dyDescent="0.25">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x14ac:dyDescent="0.25">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x14ac:dyDescent="0.25">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x14ac:dyDescent="0.25">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x14ac:dyDescent="0.25">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x14ac:dyDescent="0.25">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x14ac:dyDescent="0.25">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x14ac:dyDescent="0.25">
      <c r="D455" s="120" t="s">
        <v>1254</v>
      </c>
      <c r="E455" s="98" t="str">
        <f>Translations!$B$252</f>
        <v>Consumed for non-CBAM goods within the installation:</v>
      </c>
      <c r="F455" s="98"/>
      <c r="G455" s="98"/>
      <c r="H455" s="98"/>
      <c r="I455" s="98"/>
      <c r="J455" s="98"/>
      <c r="K455" s="171" t="str">
        <f>K442</f>
        <v/>
      </c>
      <c r="L455" s="220"/>
      <c r="T455" s="128"/>
    </row>
    <row r="456" spans="3:24" ht="12.75" customHeight="1" x14ac:dyDescent="0.25">
      <c r="D456" s="120" t="s">
        <v>1334</v>
      </c>
      <c r="E456" s="143" t="str">
        <f>Translations!$B$253</f>
        <v>Control:</v>
      </c>
      <c r="F456" s="172"/>
      <c r="G456" s="172"/>
      <c r="H456" s="172"/>
      <c r="I456" s="172"/>
      <c r="J456" s="172"/>
      <c r="K456" s="171" t="str">
        <f>K455</f>
        <v/>
      </c>
      <c r="L456" s="121" t="str">
        <f>IF(G431="","",SUM(L442)-SUM(L445:L455))</f>
        <v/>
      </c>
      <c r="T456" s="128"/>
    </row>
    <row r="457" spans="3:24" ht="12.75" customHeight="1" thickBot="1" x14ac:dyDescent="0.3">
      <c r="T457" s="128"/>
    </row>
    <row r="458" spans="3:24" ht="12.75" customHeight="1" x14ac:dyDescent="0.25">
      <c r="C458" s="188"/>
      <c r="D458" s="189"/>
      <c r="E458" s="190"/>
      <c r="F458" s="191"/>
      <c r="G458" s="191"/>
      <c r="H458" s="191"/>
      <c r="I458" s="191"/>
      <c r="J458" s="191"/>
      <c r="K458" s="191"/>
      <c r="L458" s="191"/>
      <c r="M458" s="191"/>
      <c r="N458" s="192"/>
      <c r="T458" s="128"/>
    </row>
    <row r="459" spans="3:24" ht="15" customHeight="1" x14ac:dyDescent="0.25">
      <c r="C459" s="193"/>
      <c r="D459" s="194" t="str">
        <f>Translations!$B$279</f>
        <v>Specific embedded emissions:</v>
      </c>
      <c r="E459" s="195"/>
      <c r="F459" s="196"/>
      <c r="G459" s="196"/>
      <c r="H459" s="196"/>
      <c r="I459" s="196"/>
      <c r="J459" s="1201" t="str">
        <f>IF(G431="","",G431)</f>
        <v/>
      </c>
      <c r="K459" s="1201"/>
      <c r="L459" s="1201"/>
      <c r="M459" s="1201"/>
      <c r="N459" s="197"/>
      <c r="T459" s="128"/>
    </row>
    <row r="460" spans="3:24" ht="5.0999999999999996" customHeight="1" x14ac:dyDescent="0.25">
      <c r="C460" s="193"/>
      <c r="D460" s="198"/>
      <c r="E460" s="199"/>
      <c r="F460" s="196"/>
      <c r="G460" s="196"/>
      <c r="H460" s="196"/>
      <c r="I460" s="196"/>
      <c r="J460" s="196"/>
      <c r="K460" s="196"/>
      <c r="L460" s="196"/>
      <c r="M460" s="196"/>
      <c r="N460" s="197"/>
      <c r="T460" s="128"/>
    </row>
    <row r="461" spans="3:24" ht="12.75" customHeight="1" x14ac:dyDescent="0.25">
      <c r="C461" s="193"/>
      <c r="D461" s="200" t="s">
        <v>1335</v>
      </c>
      <c r="E461" s="199" t="str">
        <f>Translations!$B$280</f>
        <v>Emissions embedded in this purchased precursor</v>
      </c>
      <c r="F461" s="199"/>
      <c r="G461" s="199"/>
      <c r="H461" s="199"/>
      <c r="I461" s="199"/>
      <c r="J461" s="199"/>
      <c r="K461" s="199"/>
      <c r="L461" s="199"/>
      <c r="M461" s="199"/>
      <c r="N461" s="197"/>
      <c r="T461" s="128"/>
      <c r="V461" s="173"/>
    </row>
    <row r="462" spans="3:24" ht="12.75" customHeight="1" x14ac:dyDescent="0.25">
      <c r="C462" s="193"/>
      <c r="D462" s="200"/>
      <c r="E462" s="1202" t="str">
        <f>Translations!$B$281</f>
        <v>Please enter here the values and sources for the specific embedded direct and indirect emissions, as obtained from the supplier.</v>
      </c>
      <c r="F462" s="1202"/>
      <c r="G462" s="1202"/>
      <c r="H462" s="1202"/>
      <c r="I462" s="1202"/>
      <c r="J462" s="1202"/>
      <c r="K462" s="1202"/>
      <c r="L462" s="1202"/>
      <c r="M462" s="1202"/>
      <c r="N462" s="392"/>
      <c r="T462" s="128"/>
    </row>
    <row r="463" spans="3:24" ht="12.75" customHeight="1" x14ac:dyDescent="0.25">
      <c r="C463" s="193"/>
      <c r="D463" s="200"/>
      <c r="E463" s="1202" t="str">
        <f>Translations!$B$282</f>
        <v>For the SEE (direct), the 'Type of value' relates to whether the direct emissions are measured, or whether a default value provided by the European Commission was applied.</v>
      </c>
      <c r="F463" s="1202"/>
      <c r="G463" s="1202"/>
      <c r="H463" s="1202"/>
      <c r="I463" s="1202"/>
      <c r="J463" s="1202"/>
      <c r="K463" s="1202"/>
      <c r="L463" s="1202"/>
      <c r="M463" s="1202"/>
      <c r="N463" s="392"/>
      <c r="T463" s="128"/>
    </row>
    <row r="464" spans="3:24" ht="12.75" customHeight="1" x14ac:dyDescent="0.25">
      <c r="C464" s="193"/>
      <c r="D464" s="200"/>
      <c r="E464" s="1202" t="str">
        <f>Translations!$B$283</f>
        <v>In order to obtain these data and information, you may want to ask your supplier to fill in an empty copy of this communication template.</v>
      </c>
      <c r="F464" s="1202"/>
      <c r="G464" s="1202"/>
      <c r="H464" s="1202"/>
      <c r="I464" s="1202"/>
      <c r="J464" s="1202"/>
      <c r="K464" s="1202"/>
      <c r="L464" s="1202"/>
      <c r="M464" s="1202"/>
      <c r="N464" s="392"/>
      <c r="T464" s="128"/>
    </row>
    <row r="465" spans="2:24" ht="12.75" customHeight="1" x14ac:dyDescent="0.25">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x14ac:dyDescent="0.25">
      <c r="C466" s="193"/>
      <c r="D466" s="198" t="s">
        <v>1238</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x14ac:dyDescent="0.25">
      <c r="C467" s="193"/>
      <c r="D467" s="198" t="s">
        <v>1239</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x14ac:dyDescent="0.25">
      <c r="C468" s="193"/>
      <c r="D468" s="198"/>
      <c r="E468" s="196"/>
      <c r="F468" s="196"/>
      <c r="G468" s="196"/>
      <c r="H468" s="196"/>
      <c r="I468" s="196"/>
      <c r="J468" s="196"/>
      <c r="K468" s="196"/>
      <c r="L468" s="196"/>
      <c r="M468" s="196"/>
      <c r="N468" s="197"/>
      <c r="T468" s="128"/>
      <c r="U468" s="126"/>
      <c r="V468" s="173"/>
    </row>
    <row r="469" spans="2:24" ht="12.75" customHeight="1" x14ac:dyDescent="0.25">
      <c r="C469" s="193"/>
      <c r="D469" s="198" t="s">
        <v>1240</v>
      </c>
      <c r="E469" s="202" t="str">
        <f>Translations!$B$1858</f>
        <v>Justification for use of default values (if relevant):</v>
      </c>
      <c r="F469" s="202"/>
      <c r="G469" s="202"/>
      <c r="H469" s="202"/>
      <c r="I469" s="202"/>
      <c r="J469" s="202"/>
      <c r="K469" s="1203"/>
      <c r="L469" s="1203"/>
      <c r="M469" s="1203"/>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x14ac:dyDescent="0.3">
      <c r="C470" s="208"/>
      <c r="D470" s="209"/>
      <c r="E470" s="210"/>
      <c r="F470" s="211"/>
      <c r="G470" s="211"/>
      <c r="H470" s="211"/>
      <c r="I470" s="211"/>
      <c r="J470" s="211"/>
      <c r="K470" s="211"/>
      <c r="L470" s="211"/>
      <c r="M470" s="211"/>
      <c r="N470" s="212"/>
      <c r="T470" s="128"/>
    </row>
    <row r="471" spans="2:24" ht="12.75" customHeight="1" thickBot="1" x14ac:dyDescent="0.3">
      <c r="T471" s="128"/>
    </row>
    <row r="472" spans="2:24" ht="12.75" customHeight="1" thickBot="1" x14ac:dyDescent="0.3">
      <c r="B472" s="150"/>
      <c r="C472" s="150"/>
      <c r="D472" s="150"/>
      <c r="E472" s="150"/>
      <c r="F472" s="150"/>
      <c r="G472" s="150"/>
      <c r="H472" s="150"/>
      <c r="I472" s="150"/>
      <c r="J472" s="150"/>
      <c r="K472" s="150"/>
      <c r="L472" s="150"/>
      <c r="M472" s="150"/>
      <c r="N472" s="150"/>
      <c r="O472" s="150"/>
      <c r="T472" s="128"/>
    </row>
    <row r="473" spans="2:24" ht="18" customHeight="1" thickBot="1" x14ac:dyDescent="0.3">
      <c r="C473" s="152">
        <f>C431+1</f>
        <v>12</v>
      </c>
      <c r="D473" s="153" t="str">
        <f>CONST_PurchPrecursor &amp; " " &amp; C473 &amp; ":"</f>
        <v>Purchased precursor 12:</v>
      </c>
      <c r="G473" s="1191" t="str">
        <f>IF(INDEX(CNTR_List_ExistPurchPrecNames,MATCH(R473,CNTR_ListPurchPrecID,0))=CONST_NA,"",INDEX(CNTR_List_ExistPurchPrecNames,MATCH(R473,CNTR_ListPurchPrecID,0)))</f>
        <v/>
      </c>
      <c r="H473" s="1192"/>
      <c r="I473" s="1192"/>
      <c r="J473" s="1192"/>
      <c r="K473" s="1193"/>
      <c r="L473" s="1194" t="str">
        <f>IF(INDEX(CNTR_List_ExistPurchPrec,MATCH(R473,CNTR_ListPurchPrecID,0))=CONST_NA,"",INDEX(CNTR_List_ExistPurchPrec,MATCH(R473,CNTR_ListPurchPrecID,0)))</f>
        <v/>
      </c>
      <c r="M473" s="1195"/>
      <c r="N473" s="1196"/>
      <c r="R473" s="154" t="str">
        <f>INDEX(CNTR_ListPurchPrecID,C473)</f>
        <v>PP12</v>
      </c>
      <c r="T473" s="128"/>
      <c r="W473" s="104" t="s">
        <v>1330</v>
      </c>
      <c r="X473" s="155" t="b">
        <f>AND(CNTR_HasEntriesA,G473="")</f>
        <v>0</v>
      </c>
    </row>
    <row r="474" spans="2:24" ht="12.75" customHeight="1" x14ac:dyDescent="0.25">
      <c r="D474" s="103"/>
      <c r="E474" s="98"/>
      <c r="T474" s="128"/>
      <c r="W474" s="104"/>
    </row>
    <row r="475" spans="2:24" ht="12.75" customHeight="1" x14ac:dyDescent="0.25">
      <c r="D475" s="120" t="s">
        <v>1331</v>
      </c>
      <c r="E475" s="98" t="str">
        <f>Translations!$B$276</f>
        <v>Total purchased levels:</v>
      </c>
      <c r="H475" s="156" t="str">
        <f>Translations!$B$244</f>
        <v>Production route</v>
      </c>
      <c r="K475" s="157" t="str">
        <f>Translations!$B$221</f>
        <v>Unit</v>
      </c>
      <c r="L475" s="157" t="str">
        <f>Translations!$B$245</f>
        <v>Amounts</v>
      </c>
      <c r="T475" s="128"/>
    </row>
    <row r="476" spans="2:24" ht="12.75" customHeight="1" x14ac:dyDescent="0.25">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x14ac:dyDescent="0.25">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x14ac:dyDescent="0.25">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x14ac:dyDescent="0.25">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x14ac:dyDescent="0.25">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x14ac:dyDescent="0.25">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x14ac:dyDescent="0.25">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x14ac:dyDescent="0.25">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x14ac:dyDescent="0.25">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x14ac:dyDescent="0.25">
      <c r="D485" s="137"/>
      <c r="E485" s="98"/>
      <c r="T485" s="128"/>
    </row>
    <row r="486" spans="4:24" ht="12.75" customHeight="1" x14ac:dyDescent="0.25">
      <c r="D486" s="120" t="s">
        <v>1253</v>
      </c>
      <c r="E486" s="98" t="str">
        <f>Translations!$B$278</f>
        <v>Consumed in "production processes" within the installation:</v>
      </c>
      <c r="F486" s="98"/>
      <c r="G486" s="98"/>
      <c r="H486" s="98"/>
      <c r="I486" s="98"/>
      <c r="J486" s="98"/>
      <c r="K486" s="120" t="str">
        <f>Translations!$B$221</f>
        <v>Unit</v>
      </c>
      <c r="L486" s="120" t="str">
        <f>Translations!$B$245</f>
        <v>Amounts</v>
      </c>
      <c r="S486" s="126" t="s">
        <v>1332</v>
      </c>
      <c r="T486" s="128"/>
    </row>
    <row r="487" spans="4:24" ht="12.75" customHeight="1" x14ac:dyDescent="0.25">
      <c r="D487" s="174">
        <v>1</v>
      </c>
      <c r="E487" s="175" t="str">
        <f t="shared" ref="E487:E496" si="57">IF(INDEX(CNTR_List_ExistProdProcNames,S487)=CONST_NA,"",INDEX(CNTR_List_ExistProdProcNames,S487))</f>
        <v/>
      </c>
      <c r="F487" s="176"/>
      <c r="G487" s="176"/>
      <c r="H487" s="176"/>
      <c r="I487" s="176"/>
      <c r="J487" s="177"/>
      <c r="K487" s="160" t="str">
        <f>IF(E487="","",K484)</f>
        <v/>
      </c>
      <c r="L487" s="28"/>
      <c r="O487" s="161"/>
      <c r="R487" s="102" t="str">
        <f>CONST_PrecursorToGoodInput&amp;G473 &amp;"_"&amp;E487</f>
        <v>PrecToGood__</v>
      </c>
      <c r="S487" s="105">
        <f>D487</f>
        <v>1</v>
      </c>
      <c r="T487" s="127" t="str">
        <f>IF(G473="","",L487)</f>
        <v/>
      </c>
      <c r="V487" s="162" t="str">
        <f>IF(AND(G473&lt;&gt;"",E487&lt;&gt;"",L487&lt;&gt;""),TRUE,IF(AND(G473&lt;&gt;"",E487&lt;&gt;"",L487="",X487=FALSE),CONST_ErrorOrMissing&amp;C473,CONST_NA))</f>
        <v>n.a.</v>
      </c>
      <c r="W487" s="89" t="s">
        <v>1333</v>
      </c>
      <c r="X487" s="102" t="b">
        <f>IF(G473="",FALSE,E487="")</f>
        <v>0</v>
      </c>
    </row>
    <row r="488" spans="4:24" ht="12.75" customHeight="1" x14ac:dyDescent="0.25">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x14ac:dyDescent="0.25">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x14ac:dyDescent="0.25">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x14ac:dyDescent="0.25">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x14ac:dyDescent="0.25">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x14ac:dyDescent="0.25">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x14ac:dyDescent="0.25">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x14ac:dyDescent="0.25">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x14ac:dyDescent="0.25">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x14ac:dyDescent="0.25">
      <c r="D497" s="120" t="s">
        <v>1254</v>
      </c>
      <c r="E497" s="98" t="str">
        <f>Translations!$B$252</f>
        <v>Consumed for non-CBAM goods within the installation:</v>
      </c>
      <c r="F497" s="98"/>
      <c r="G497" s="98"/>
      <c r="H497" s="98"/>
      <c r="I497" s="98"/>
      <c r="J497" s="98"/>
      <c r="K497" s="171" t="str">
        <f>K484</f>
        <v/>
      </c>
      <c r="L497" s="220"/>
      <c r="T497" s="128"/>
    </row>
    <row r="498" spans="3:24" ht="12.75" customHeight="1" x14ac:dyDescent="0.25">
      <c r="D498" s="120" t="s">
        <v>1334</v>
      </c>
      <c r="E498" s="143" t="str">
        <f>Translations!$B$253</f>
        <v>Control:</v>
      </c>
      <c r="F498" s="172"/>
      <c r="G498" s="172"/>
      <c r="H498" s="172"/>
      <c r="I498" s="172"/>
      <c r="J498" s="172"/>
      <c r="K498" s="171" t="str">
        <f>K497</f>
        <v/>
      </c>
      <c r="L498" s="121" t="str">
        <f>IF(G473="","",SUM(L484)-SUM(L487:L497))</f>
        <v/>
      </c>
      <c r="T498" s="128"/>
    </row>
    <row r="499" spans="3:24" ht="12.75" customHeight="1" thickBot="1" x14ac:dyDescent="0.3">
      <c r="T499" s="128"/>
    </row>
    <row r="500" spans="3:24" ht="12.75" customHeight="1" x14ac:dyDescent="0.25">
      <c r="C500" s="188"/>
      <c r="D500" s="189"/>
      <c r="E500" s="190"/>
      <c r="F500" s="191"/>
      <c r="G500" s="191"/>
      <c r="H500" s="191"/>
      <c r="I500" s="191"/>
      <c r="J500" s="191"/>
      <c r="K500" s="191"/>
      <c r="L500" s="191"/>
      <c r="M500" s="191"/>
      <c r="N500" s="192"/>
      <c r="T500" s="128"/>
    </row>
    <row r="501" spans="3:24" ht="15" customHeight="1" x14ac:dyDescent="0.25">
      <c r="C501" s="193"/>
      <c r="D501" s="194" t="str">
        <f>Translations!$B$279</f>
        <v>Specific embedded emissions:</v>
      </c>
      <c r="E501" s="195"/>
      <c r="F501" s="196"/>
      <c r="G501" s="196"/>
      <c r="H501" s="196"/>
      <c r="I501" s="196"/>
      <c r="J501" s="1201" t="str">
        <f>IF(G473="","",G473)</f>
        <v/>
      </c>
      <c r="K501" s="1201"/>
      <c r="L501" s="1201"/>
      <c r="M501" s="1201"/>
      <c r="N501" s="197"/>
      <c r="T501" s="128"/>
    </row>
    <row r="502" spans="3:24" ht="5.0999999999999996" customHeight="1" x14ac:dyDescent="0.25">
      <c r="C502" s="193"/>
      <c r="D502" s="198"/>
      <c r="E502" s="199"/>
      <c r="F502" s="196"/>
      <c r="G502" s="196"/>
      <c r="H502" s="196"/>
      <c r="I502" s="196"/>
      <c r="J502" s="196"/>
      <c r="K502" s="196"/>
      <c r="L502" s="196"/>
      <c r="M502" s="196"/>
      <c r="N502" s="197"/>
      <c r="T502" s="128"/>
    </row>
    <row r="503" spans="3:24" ht="12.75" customHeight="1" x14ac:dyDescent="0.25">
      <c r="C503" s="193"/>
      <c r="D503" s="200" t="s">
        <v>1335</v>
      </c>
      <c r="E503" s="199" t="str">
        <f>Translations!$B$280</f>
        <v>Emissions embedded in this purchased precursor</v>
      </c>
      <c r="F503" s="199"/>
      <c r="G503" s="199"/>
      <c r="H503" s="199"/>
      <c r="I503" s="199"/>
      <c r="J503" s="199"/>
      <c r="K503" s="199"/>
      <c r="L503" s="199"/>
      <c r="M503" s="199"/>
      <c r="N503" s="197"/>
      <c r="T503" s="128"/>
      <c r="V503" s="173"/>
    </row>
    <row r="504" spans="3:24" ht="12.75" customHeight="1" x14ac:dyDescent="0.25">
      <c r="C504" s="193"/>
      <c r="D504" s="200"/>
      <c r="E504" s="1202" t="str">
        <f>Translations!$B$281</f>
        <v>Please enter here the values and sources for the specific embedded direct and indirect emissions, as obtained from the supplier.</v>
      </c>
      <c r="F504" s="1202"/>
      <c r="G504" s="1202"/>
      <c r="H504" s="1202"/>
      <c r="I504" s="1202"/>
      <c r="J504" s="1202"/>
      <c r="K504" s="1202"/>
      <c r="L504" s="1202"/>
      <c r="M504" s="1202"/>
      <c r="N504" s="392"/>
      <c r="T504" s="128"/>
    </row>
    <row r="505" spans="3:24" ht="12.75" customHeight="1" x14ac:dyDescent="0.25">
      <c r="C505" s="193"/>
      <c r="D505" s="200"/>
      <c r="E505" s="1202" t="str">
        <f>Translations!$B$282</f>
        <v>For the SEE (direct), the 'Type of value' relates to whether the direct emissions are measured, or whether a default value provided by the European Commission was applied.</v>
      </c>
      <c r="F505" s="1202"/>
      <c r="G505" s="1202"/>
      <c r="H505" s="1202"/>
      <c r="I505" s="1202"/>
      <c r="J505" s="1202"/>
      <c r="K505" s="1202"/>
      <c r="L505" s="1202"/>
      <c r="M505" s="1202"/>
      <c r="N505" s="392"/>
      <c r="T505" s="128"/>
    </row>
    <row r="506" spans="3:24" ht="12.75" customHeight="1" x14ac:dyDescent="0.25">
      <c r="C506" s="193"/>
      <c r="D506" s="200"/>
      <c r="E506" s="1202" t="str">
        <f>Translations!$B$283</f>
        <v>In order to obtain these data and information, you may want to ask your supplier to fill in an empty copy of this communication template.</v>
      </c>
      <c r="F506" s="1202"/>
      <c r="G506" s="1202"/>
      <c r="H506" s="1202"/>
      <c r="I506" s="1202"/>
      <c r="J506" s="1202"/>
      <c r="K506" s="1202"/>
      <c r="L506" s="1202"/>
      <c r="M506" s="1202"/>
      <c r="N506" s="392"/>
      <c r="T506" s="128"/>
    </row>
    <row r="507" spans="3:24" ht="12.75" customHeight="1" x14ac:dyDescent="0.25">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x14ac:dyDescent="0.25">
      <c r="C508" s="193"/>
      <c r="D508" s="198" t="s">
        <v>1238</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x14ac:dyDescent="0.25">
      <c r="C509" s="193"/>
      <c r="D509" s="198" t="s">
        <v>1239</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x14ac:dyDescent="0.25">
      <c r="C510" s="193"/>
      <c r="D510" s="198"/>
      <c r="E510" s="196"/>
      <c r="F510" s="196"/>
      <c r="G510" s="196"/>
      <c r="H510" s="196"/>
      <c r="I510" s="196"/>
      <c r="J510" s="196"/>
      <c r="K510" s="196"/>
      <c r="L510" s="196"/>
      <c r="M510" s="196"/>
      <c r="N510" s="197"/>
      <c r="T510" s="128"/>
      <c r="U510" s="126"/>
      <c r="V510" s="173"/>
    </row>
    <row r="511" spans="3:24" ht="12.75" customHeight="1" x14ac:dyDescent="0.25">
      <c r="C511" s="193"/>
      <c r="D511" s="198" t="s">
        <v>1240</v>
      </c>
      <c r="E511" s="202" t="str">
        <f>Translations!$B$1858</f>
        <v>Justification for use of default values (if relevant):</v>
      </c>
      <c r="F511" s="202"/>
      <c r="G511" s="202"/>
      <c r="H511" s="202"/>
      <c r="I511" s="202"/>
      <c r="J511" s="202"/>
      <c r="K511" s="1203"/>
      <c r="L511" s="1203"/>
      <c r="M511" s="1203"/>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x14ac:dyDescent="0.3">
      <c r="C512" s="208"/>
      <c r="D512" s="209"/>
      <c r="E512" s="210"/>
      <c r="F512" s="211"/>
      <c r="G512" s="211"/>
      <c r="H512" s="211"/>
      <c r="I512" s="211"/>
      <c r="J512" s="211"/>
      <c r="K512" s="211"/>
      <c r="L512" s="211"/>
      <c r="M512" s="211"/>
      <c r="N512" s="212"/>
      <c r="T512" s="128"/>
    </row>
    <row r="513" spans="2:24" ht="12.75" customHeight="1" thickBot="1" x14ac:dyDescent="0.3">
      <c r="T513" s="128"/>
    </row>
    <row r="514" spans="2:24" ht="12.75" customHeight="1" thickBot="1" x14ac:dyDescent="0.3">
      <c r="B514" s="150"/>
      <c r="C514" s="150"/>
      <c r="D514" s="150"/>
      <c r="E514" s="150"/>
      <c r="F514" s="150"/>
      <c r="G514" s="150"/>
      <c r="H514" s="150"/>
      <c r="I514" s="150"/>
      <c r="J514" s="150"/>
      <c r="K514" s="150"/>
      <c r="L514" s="150"/>
      <c r="M514" s="150"/>
      <c r="N514" s="150"/>
      <c r="O514" s="150"/>
      <c r="T514" s="128"/>
    </row>
    <row r="515" spans="2:24" ht="18" customHeight="1" thickBot="1" x14ac:dyDescent="0.3">
      <c r="C515" s="152">
        <f>C473+1</f>
        <v>13</v>
      </c>
      <c r="D515" s="153" t="str">
        <f>CONST_PurchPrecursor &amp; " " &amp; C515 &amp; ":"</f>
        <v>Purchased precursor 13:</v>
      </c>
      <c r="G515" s="1191" t="str">
        <f>IF(INDEX(CNTR_List_ExistPurchPrecNames,MATCH(R515,CNTR_ListPurchPrecID,0))=CONST_NA,"",INDEX(CNTR_List_ExistPurchPrecNames,MATCH(R515,CNTR_ListPurchPrecID,0)))</f>
        <v/>
      </c>
      <c r="H515" s="1192"/>
      <c r="I515" s="1192"/>
      <c r="J515" s="1192"/>
      <c r="K515" s="1193"/>
      <c r="L515" s="1194" t="str">
        <f>IF(INDEX(CNTR_List_ExistPurchPrec,MATCH(R515,CNTR_ListPurchPrecID,0))=CONST_NA,"",INDEX(CNTR_List_ExistPurchPrec,MATCH(R515,CNTR_ListPurchPrecID,0)))</f>
        <v/>
      </c>
      <c r="M515" s="1195"/>
      <c r="N515" s="1196"/>
      <c r="R515" s="154" t="str">
        <f>INDEX(CNTR_ListPurchPrecID,C515)</f>
        <v>PP13</v>
      </c>
      <c r="T515" s="128"/>
      <c r="W515" s="104" t="s">
        <v>1330</v>
      </c>
      <c r="X515" s="155" t="b">
        <f>AND(CNTR_HasEntriesA,G515="")</f>
        <v>0</v>
      </c>
    </row>
    <row r="516" spans="2:24" ht="12.75" customHeight="1" x14ac:dyDescent="0.25">
      <c r="D516" s="103"/>
      <c r="E516" s="98"/>
      <c r="T516" s="128"/>
      <c r="W516" s="104"/>
    </row>
    <row r="517" spans="2:24" ht="12.75" customHeight="1" x14ac:dyDescent="0.25">
      <c r="D517" s="120" t="s">
        <v>1331</v>
      </c>
      <c r="E517" s="98" t="str">
        <f>Translations!$B$276</f>
        <v>Total purchased levels:</v>
      </c>
      <c r="H517" s="156" t="str">
        <f>Translations!$B$244</f>
        <v>Production route</v>
      </c>
      <c r="K517" s="157" t="str">
        <f>Translations!$B$221</f>
        <v>Unit</v>
      </c>
      <c r="L517" s="157" t="str">
        <f>Translations!$B$245</f>
        <v>Amounts</v>
      </c>
      <c r="T517" s="128"/>
    </row>
    <row r="518" spans="2:24" ht="12.75" customHeight="1" x14ac:dyDescent="0.25">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x14ac:dyDescent="0.25">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x14ac:dyDescent="0.25">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x14ac:dyDescent="0.25">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x14ac:dyDescent="0.25">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x14ac:dyDescent="0.25">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x14ac:dyDescent="0.25">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x14ac:dyDescent="0.25">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x14ac:dyDescent="0.25">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x14ac:dyDescent="0.25">
      <c r="D527" s="137"/>
      <c r="E527" s="98"/>
      <c r="T527" s="128"/>
    </row>
    <row r="528" spans="2:24" ht="12.75" customHeight="1" x14ac:dyDescent="0.25">
      <c r="D528" s="120" t="s">
        <v>1253</v>
      </c>
      <c r="E528" s="98" t="str">
        <f>Translations!$B$278</f>
        <v>Consumed in "production processes" within the installation:</v>
      </c>
      <c r="F528" s="98"/>
      <c r="G528" s="98"/>
      <c r="H528" s="98"/>
      <c r="I528" s="98"/>
      <c r="J528" s="98"/>
      <c r="K528" s="120" t="str">
        <f>Translations!$B$221</f>
        <v>Unit</v>
      </c>
      <c r="L528" s="120" t="str">
        <f>Translations!$B$245</f>
        <v>Amounts</v>
      </c>
      <c r="S528" s="126" t="s">
        <v>1332</v>
      </c>
      <c r="T528" s="128"/>
    </row>
    <row r="529" spans="3:24" ht="12.75" customHeight="1" x14ac:dyDescent="0.25">
      <c r="D529" s="174">
        <v>1</v>
      </c>
      <c r="E529" s="175" t="str">
        <f t="shared" ref="E529:E538" si="62">IF(INDEX(CNTR_List_ExistProdProcNames,S529)=CONST_NA,"",INDEX(CNTR_List_ExistProdProcNames,S529))</f>
        <v/>
      </c>
      <c r="F529" s="176"/>
      <c r="G529" s="176"/>
      <c r="H529" s="176"/>
      <c r="I529" s="176"/>
      <c r="J529" s="177"/>
      <c r="K529" s="160" t="str">
        <f>IF(E529="","",K526)</f>
        <v/>
      </c>
      <c r="L529" s="28"/>
      <c r="O529" s="161"/>
      <c r="R529" s="102" t="str">
        <f>CONST_PrecursorToGoodInput&amp;G515 &amp;"_"&amp;E529</f>
        <v>PrecToGood__</v>
      </c>
      <c r="S529" s="105">
        <f>D529</f>
        <v>1</v>
      </c>
      <c r="T529" s="127" t="str">
        <f>IF(G515="","",L529)</f>
        <v/>
      </c>
      <c r="V529" s="162" t="str">
        <f>IF(AND(G515&lt;&gt;"",E529&lt;&gt;"",L529&lt;&gt;""),TRUE,IF(AND(G515&lt;&gt;"",E529&lt;&gt;"",L529="",X529=FALSE),CONST_ErrorOrMissing&amp;C515,CONST_NA))</f>
        <v>n.a.</v>
      </c>
      <c r="W529" s="89" t="s">
        <v>1333</v>
      </c>
      <c r="X529" s="102" t="b">
        <f>IF(G515="",FALSE,E529="")</f>
        <v>0</v>
      </c>
    </row>
    <row r="530" spans="3:24" ht="12.75" customHeight="1" x14ac:dyDescent="0.25">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x14ac:dyDescent="0.25">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x14ac:dyDescent="0.25">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x14ac:dyDescent="0.25">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x14ac:dyDescent="0.25">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x14ac:dyDescent="0.25">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x14ac:dyDescent="0.25">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x14ac:dyDescent="0.25">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x14ac:dyDescent="0.25">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x14ac:dyDescent="0.25">
      <c r="D539" s="120" t="s">
        <v>1254</v>
      </c>
      <c r="E539" s="98" t="str">
        <f>Translations!$B$252</f>
        <v>Consumed for non-CBAM goods within the installation:</v>
      </c>
      <c r="F539" s="98"/>
      <c r="G539" s="98"/>
      <c r="H539" s="98"/>
      <c r="I539" s="98"/>
      <c r="J539" s="98"/>
      <c r="K539" s="171" t="str">
        <f>K526</f>
        <v/>
      </c>
      <c r="L539" s="220"/>
      <c r="T539" s="128"/>
    </row>
    <row r="540" spans="3:24" ht="12.75" customHeight="1" x14ac:dyDescent="0.25">
      <c r="D540" s="120" t="s">
        <v>1334</v>
      </c>
      <c r="E540" s="143" t="str">
        <f>Translations!$B$253</f>
        <v>Control:</v>
      </c>
      <c r="F540" s="172"/>
      <c r="G540" s="172"/>
      <c r="H540" s="172"/>
      <c r="I540" s="172"/>
      <c r="J540" s="172"/>
      <c r="K540" s="171" t="str">
        <f>K539</f>
        <v/>
      </c>
      <c r="L540" s="121" t="str">
        <f>IF(G515="","",SUM(L526)-SUM(L529:L539))</f>
        <v/>
      </c>
      <c r="T540" s="128"/>
    </row>
    <row r="541" spans="3:24" ht="12.75" customHeight="1" thickBot="1" x14ac:dyDescent="0.3">
      <c r="T541" s="128"/>
    </row>
    <row r="542" spans="3:24" ht="12.75" customHeight="1" x14ac:dyDescent="0.25">
      <c r="C542" s="188"/>
      <c r="D542" s="189"/>
      <c r="E542" s="190"/>
      <c r="F542" s="191"/>
      <c r="G542" s="191"/>
      <c r="H542" s="191"/>
      <c r="I542" s="191"/>
      <c r="J542" s="191"/>
      <c r="K542" s="191"/>
      <c r="L542" s="191"/>
      <c r="M542" s="191"/>
      <c r="N542" s="192"/>
      <c r="T542" s="128"/>
    </row>
    <row r="543" spans="3:24" ht="15" customHeight="1" x14ac:dyDescent="0.25">
      <c r="C543" s="193"/>
      <c r="D543" s="194" t="str">
        <f>Translations!$B$279</f>
        <v>Specific embedded emissions:</v>
      </c>
      <c r="E543" s="195"/>
      <c r="F543" s="196"/>
      <c r="G543" s="196"/>
      <c r="H543" s="196"/>
      <c r="I543" s="196"/>
      <c r="J543" s="1201" t="str">
        <f>IF(G515="","",G515)</f>
        <v/>
      </c>
      <c r="K543" s="1201"/>
      <c r="L543" s="1201"/>
      <c r="M543" s="1201"/>
      <c r="N543" s="197"/>
      <c r="T543" s="128"/>
    </row>
    <row r="544" spans="3:24" ht="5.0999999999999996" customHeight="1" x14ac:dyDescent="0.25">
      <c r="C544" s="193"/>
      <c r="D544" s="198"/>
      <c r="E544" s="199"/>
      <c r="F544" s="196"/>
      <c r="G544" s="196"/>
      <c r="H544" s="196"/>
      <c r="I544" s="196"/>
      <c r="J544" s="196"/>
      <c r="K544" s="196"/>
      <c r="L544" s="196"/>
      <c r="M544" s="196"/>
      <c r="N544" s="197"/>
      <c r="T544" s="128"/>
    </row>
    <row r="545" spans="2:24" ht="12.75" customHeight="1" x14ac:dyDescent="0.25">
      <c r="C545" s="193"/>
      <c r="D545" s="200" t="s">
        <v>1335</v>
      </c>
      <c r="E545" s="199" t="str">
        <f>Translations!$B$280</f>
        <v>Emissions embedded in this purchased precursor</v>
      </c>
      <c r="F545" s="199"/>
      <c r="G545" s="199"/>
      <c r="H545" s="199"/>
      <c r="I545" s="199"/>
      <c r="J545" s="199"/>
      <c r="K545" s="199"/>
      <c r="L545" s="199"/>
      <c r="M545" s="199"/>
      <c r="N545" s="197"/>
      <c r="T545" s="128"/>
      <c r="V545" s="173"/>
    </row>
    <row r="546" spans="2:24" ht="12.75" customHeight="1" x14ac:dyDescent="0.25">
      <c r="C546" s="193"/>
      <c r="D546" s="200"/>
      <c r="E546" s="1202" t="str">
        <f>Translations!$B$281</f>
        <v>Please enter here the values and sources for the specific embedded direct and indirect emissions, as obtained from the supplier.</v>
      </c>
      <c r="F546" s="1202"/>
      <c r="G546" s="1202"/>
      <c r="H546" s="1202"/>
      <c r="I546" s="1202"/>
      <c r="J546" s="1202"/>
      <c r="K546" s="1202"/>
      <c r="L546" s="1202"/>
      <c r="M546" s="1202"/>
      <c r="N546" s="392"/>
      <c r="T546" s="128"/>
    </row>
    <row r="547" spans="2:24" ht="12.75" customHeight="1" x14ac:dyDescent="0.25">
      <c r="C547" s="193"/>
      <c r="D547" s="200"/>
      <c r="E547" s="1202" t="str">
        <f>Translations!$B$282</f>
        <v>For the SEE (direct), the 'Type of value' relates to whether the direct emissions are measured, or whether a default value provided by the European Commission was applied.</v>
      </c>
      <c r="F547" s="1202"/>
      <c r="G547" s="1202"/>
      <c r="H547" s="1202"/>
      <c r="I547" s="1202"/>
      <c r="J547" s="1202"/>
      <c r="K547" s="1202"/>
      <c r="L547" s="1202"/>
      <c r="M547" s="1202"/>
      <c r="N547" s="392"/>
      <c r="T547" s="128"/>
    </row>
    <row r="548" spans="2:24" ht="12.75" customHeight="1" x14ac:dyDescent="0.25">
      <c r="C548" s="193"/>
      <c r="D548" s="200"/>
      <c r="E548" s="1202" t="str">
        <f>Translations!$B$283</f>
        <v>In order to obtain these data and information, you may want to ask your supplier to fill in an empty copy of this communication template.</v>
      </c>
      <c r="F548" s="1202"/>
      <c r="G548" s="1202"/>
      <c r="H548" s="1202"/>
      <c r="I548" s="1202"/>
      <c r="J548" s="1202"/>
      <c r="K548" s="1202"/>
      <c r="L548" s="1202"/>
      <c r="M548" s="1202"/>
      <c r="N548" s="392"/>
      <c r="T548" s="128"/>
    </row>
    <row r="549" spans="2:24" ht="12.75" customHeight="1" x14ac:dyDescent="0.25">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x14ac:dyDescent="0.25">
      <c r="C550" s="193"/>
      <c r="D550" s="198" t="s">
        <v>1238</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x14ac:dyDescent="0.25">
      <c r="C551" s="193"/>
      <c r="D551" s="198" t="s">
        <v>1239</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x14ac:dyDescent="0.25">
      <c r="C552" s="193"/>
      <c r="D552" s="198"/>
      <c r="E552" s="196"/>
      <c r="F552" s="196"/>
      <c r="G552" s="196"/>
      <c r="H552" s="196"/>
      <c r="I552" s="196"/>
      <c r="J552" s="196"/>
      <c r="K552" s="196"/>
      <c r="L552" s="196"/>
      <c r="M552" s="196"/>
      <c r="N552" s="197"/>
      <c r="T552" s="128"/>
      <c r="U552" s="126"/>
      <c r="V552" s="173"/>
    </row>
    <row r="553" spans="2:24" ht="12.75" customHeight="1" x14ac:dyDescent="0.25">
      <c r="C553" s="193"/>
      <c r="D553" s="198" t="s">
        <v>1240</v>
      </c>
      <c r="E553" s="202" t="str">
        <f>Translations!$B$1858</f>
        <v>Justification for use of default values (if relevant):</v>
      </c>
      <c r="F553" s="202"/>
      <c r="G553" s="202"/>
      <c r="H553" s="202"/>
      <c r="I553" s="202"/>
      <c r="J553" s="202"/>
      <c r="K553" s="1203"/>
      <c r="L553" s="1203"/>
      <c r="M553" s="1203"/>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x14ac:dyDescent="0.3">
      <c r="C554" s="208"/>
      <c r="D554" s="209"/>
      <c r="E554" s="210"/>
      <c r="F554" s="211"/>
      <c r="G554" s="211"/>
      <c r="H554" s="211"/>
      <c r="I554" s="211"/>
      <c r="J554" s="211"/>
      <c r="K554" s="211"/>
      <c r="L554" s="211"/>
      <c r="M554" s="211"/>
      <c r="N554" s="212"/>
      <c r="T554" s="128"/>
    </row>
    <row r="555" spans="2:24" ht="12.75" customHeight="1" thickBot="1" x14ac:dyDescent="0.3">
      <c r="T555" s="128"/>
    </row>
    <row r="556" spans="2:24" ht="12.75" customHeight="1" thickBot="1" x14ac:dyDescent="0.3">
      <c r="B556" s="150"/>
      <c r="C556" s="150"/>
      <c r="D556" s="150"/>
      <c r="E556" s="150"/>
      <c r="F556" s="150"/>
      <c r="G556" s="150"/>
      <c r="H556" s="150"/>
      <c r="I556" s="150"/>
      <c r="J556" s="150"/>
      <c r="K556" s="150"/>
      <c r="L556" s="150"/>
      <c r="M556" s="150"/>
      <c r="N556" s="150"/>
      <c r="O556" s="150"/>
      <c r="T556" s="128"/>
    </row>
    <row r="557" spans="2:24" ht="18" customHeight="1" thickBot="1" x14ac:dyDescent="0.3">
      <c r="C557" s="152">
        <f>C515+1</f>
        <v>14</v>
      </c>
      <c r="D557" s="153" t="str">
        <f>CONST_PurchPrecursor &amp; " " &amp; C557 &amp; ":"</f>
        <v>Purchased precursor 14:</v>
      </c>
      <c r="G557" s="1191" t="str">
        <f>IF(INDEX(CNTR_List_ExistPurchPrecNames,MATCH(R557,CNTR_ListPurchPrecID,0))=CONST_NA,"",INDEX(CNTR_List_ExistPurchPrecNames,MATCH(R557,CNTR_ListPurchPrecID,0)))</f>
        <v/>
      </c>
      <c r="H557" s="1192"/>
      <c r="I557" s="1192"/>
      <c r="J557" s="1192"/>
      <c r="K557" s="1193"/>
      <c r="L557" s="1194" t="str">
        <f>IF(INDEX(CNTR_List_ExistPurchPrec,MATCH(R557,CNTR_ListPurchPrecID,0))=CONST_NA,"",INDEX(CNTR_List_ExistPurchPrec,MATCH(R557,CNTR_ListPurchPrecID,0)))</f>
        <v/>
      </c>
      <c r="M557" s="1195"/>
      <c r="N557" s="1196"/>
      <c r="R557" s="154" t="str">
        <f>INDEX(CNTR_ListPurchPrecID,C557)</f>
        <v>PP14</v>
      </c>
      <c r="T557" s="128"/>
      <c r="W557" s="104" t="s">
        <v>1330</v>
      </c>
      <c r="X557" s="155" t="b">
        <f>AND(CNTR_HasEntriesA,G557="")</f>
        <v>0</v>
      </c>
    </row>
    <row r="558" spans="2:24" ht="12.75" customHeight="1" x14ac:dyDescent="0.25">
      <c r="D558" s="103"/>
      <c r="E558" s="98"/>
      <c r="T558" s="128"/>
      <c r="W558" s="104"/>
    </row>
    <row r="559" spans="2:24" ht="12.75" customHeight="1" x14ac:dyDescent="0.25">
      <c r="D559" s="120" t="s">
        <v>1331</v>
      </c>
      <c r="E559" s="98" t="str">
        <f>Translations!$B$276</f>
        <v>Total purchased levels:</v>
      </c>
      <c r="H559" s="156" t="str">
        <f>Translations!$B$244</f>
        <v>Production route</v>
      </c>
      <c r="K559" s="157" t="str">
        <f>Translations!$B$221</f>
        <v>Unit</v>
      </c>
      <c r="L559" s="157" t="str">
        <f>Translations!$B$245</f>
        <v>Amounts</v>
      </c>
      <c r="T559" s="128"/>
    </row>
    <row r="560" spans="2:24" ht="12.75" customHeight="1" x14ac:dyDescent="0.25">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x14ac:dyDescent="0.25">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x14ac:dyDescent="0.25">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x14ac:dyDescent="0.25">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x14ac:dyDescent="0.25">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x14ac:dyDescent="0.25">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x14ac:dyDescent="0.25">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x14ac:dyDescent="0.25">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x14ac:dyDescent="0.25">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x14ac:dyDescent="0.25">
      <c r="D569" s="137"/>
      <c r="E569" s="98"/>
      <c r="T569" s="128"/>
    </row>
    <row r="570" spans="4:24" ht="12.75" customHeight="1" x14ac:dyDescent="0.25">
      <c r="D570" s="120" t="s">
        <v>1253</v>
      </c>
      <c r="E570" s="98" t="str">
        <f>Translations!$B$278</f>
        <v>Consumed in "production processes" within the installation:</v>
      </c>
      <c r="F570" s="98"/>
      <c r="G570" s="98"/>
      <c r="H570" s="98"/>
      <c r="I570" s="98"/>
      <c r="J570" s="98"/>
      <c r="K570" s="120" t="str">
        <f>Translations!$B$221</f>
        <v>Unit</v>
      </c>
      <c r="L570" s="120" t="str">
        <f>Translations!$B$245</f>
        <v>Amounts</v>
      </c>
      <c r="S570" s="126" t="s">
        <v>1332</v>
      </c>
      <c r="T570" s="128"/>
    </row>
    <row r="571" spans="4:24" ht="12.75" customHeight="1" x14ac:dyDescent="0.25">
      <c r="D571" s="174">
        <v>1</v>
      </c>
      <c r="E571" s="175" t="str">
        <f t="shared" ref="E571:E580" si="67">IF(INDEX(CNTR_List_ExistProdProcNames,S571)=CONST_NA,"",INDEX(CNTR_List_ExistProdProcNames,S571))</f>
        <v/>
      </c>
      <c r="F571" s="176"/>
      <c r="G571" s="176"/>
      <c r="H571" s="176"/>
      <c r="I571" s="176"/>
      <c r="J571" s="177"/>
      <c r="K571" s="160" t="str">
        <f>IF(E571="","",K568)</f>
        <v/>
      </c>
      <c r="L571" s="28"/>
      <c r="O571" s="161"/>
      <c r="R571" s="102" t="str">
        <f>CONST_PrecursorToGoodInput&amp;G557 &amp;"_"&amp;E571</f>
        <v>PrecToGood__</v>
      </c>
      <c r="S571" s="105">
        <f>D571</f>
        <v>1</v>
      </c>
      <c r="T571" s="127" t="str">
        <f>IF(G557="","",L571)</f>
        <v/>
      </c>
      <c r="V571" s="162" t="str">
        <f>IF(AND(G557&lt;&gt;"",E571&lt;&gt;"",L571&lt;&gt;""),TRUE,IF(AND(G557&lt;&gt;"",E571&lt;&gt;"",L571="",X571=FALSE),CONST_ErrorOrMissing&amp;C557,CONST_NA))</f>
        <v>n.a.</v>
      </c>
      <c r="W571" s="89" t="s">
        <v>1333</v>
      </c>
      <c r="X571" s="102" t="b">
        <f>IF(G557="",FALSE,E571="")</f>
        <v>0</v>
      </c>
    </row>
    <row r="572" spans="4:24" ht="12.75" customHeight="1" x14ac:dyDescent="0.25">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x14ac:dyDescent="0.25">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x14ac:dyDescent="0.25">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x14ac:dyDescent="0.25">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x14ac:dyDescent="0.25">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x14ac:dyDescent="0.25">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x14ac:dyDescent="0.25">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x14ac:dyDescent="0.25">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x14ac:dyDescent="0.25">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x14ac:dyDescent="0.25">
      <c r="D581" s="120" t="s">
        <v>1254</v>
      </c>
      <c r="E581" s="98" t="str">
        <f>Translations!$B$252</f>
        <v>Consumed for non-CBAM goods within the installation:</v>
      </c>
      <c r="F581" s="98"/>
      <c r="G581" s="98"/>
      <c r="H581" s="98"/>
      <c r="I581" s="98"/>
      <c r="J581" s="98"/>
      <c r="K581" s="171" t="str">
        <f>K568</f>
        <v/>
      </c>
      <c r="L581" s="220"/>
      <c r="T581" s="128"/>
    </row>
    <row r="582" spans="3:24" ht="12.75" customHeight="1" x14ac:dyDescent="0.25">
      <c r="D582" s="120" t="s">
        <v>1334</v>
      </c>
      <c r="E582" s="143" t="str">
        <f>Translations!$B$253</f>
        <v>Control:</v>
      </c>
      <c r="F582" s="172"/>
      <c r="G582" s="172"/>
      <c r="H582" s="172"/>
      <c r="I582" s="172"/>
      <c r="J582" s="172"/>
      <c r="K582" s="171" t="str">
        <f>K581</f>
        <v/>
      </c>
      <c r="L582" s="121" t="str">
        <f>IF(G557="","",SUM(L568)-SUM(L571:L581))</f>
        <v/>
      </c>
      <c r="T582" s="128"/>
    </row>
    <row r="583" spans="3:24" ht="12.75" customHeight="1" thickBot="1" x14ac:dyDescent="0.3">
      <c r="T583" s="128"/>
    </row>
    <row r="584" spans="3:24" ht="12.75" customHeight="1" x14ac:dyDescent="0.25">
      <c r="C584" s="188"/>
      <c r="D584" s="189"/>
      <c r="E584" s="190"/>
      <c r="F584" s="191"/>
      <c r="G584" s="191"/>
      <c r="H584" s="191"/>
      <c r="I584" s="191"/>
      <c r="J584" s="191"/>
      <c r="K584" s="191"/>
      <c r="L584" s="191"/>
      <c r="M584" s="191"/>
      <c r="N584" s="192"/>
      <c r="T584" s="128"/>
    </row>
    <row r="585" spans="3:24" ht="15" customHeight="1" x14ac:dyDescent="0.25">
      <c r="C585" s="193"/>
      <c r="D585" s="194" t="str">
        <f>Translations!$B$279</f>
        <v>Specific embedded emissions:</v>
      </c>
      <c r="E585" s="195"/>
      <c r="F585" s="196"/>
      <c r="G585" s="196"/>
      <c r="H585" s="196"/>
      <c r="I585" s="196"/>
      <c r="J585" s="1201" t="str">
        <f>IF(G557="","",G557)</f>
        <v/>
      </c>
      <c r="K585" s="1201"/>
      <c r="L585" s="1201"/>
      <c r="M585" s="1201"/>
      <c r="N585" s="197"/>
      <c r="T585" s="128"/>
    </row>
    <row r="586" spans="3:24" ht="5.0999999999999996" customHeight="1" x14ac:dyDescent="0.25">
      <c r="C586" s="193"/>
      <c r="D586" s="198"/>
      <c r="E586" s="199"/>
      <c r="F586" s="196"/>
      <c r="G586" s="196"/>
      <c r="H586" s="196"/>
      <c r="I586" s="196"/>
      <c r="J586" s="196"/>
      <c r="K586" s="196"/>
      <c r="L586" s="196"/>
      <c r="M586" s="196"/>
      <c r="N586" s="197"/>
      <c r="T586" s="128"/>
    </row>
    <row r="587" spans="3:24" ht="12.75" customHeight="1" x14ac:dyDescent="0.25">
      <c r="C587" s="193"/>
      <c r="D587" s="200" t="s">
        <v>1335</v>
      </c>
      <c r="E587" s="199" t="str">
        <f>Translations!$B$280</f>
        <v>Emissions embedded in this purchased precursor</v>
      </c>
      <c r="F587" s="199"/>
      <c r="G587" s="199"/>
      <c r="H587" s="199"/>
      <c r="I587" s="199"/>
      <c r="J587" s="199"/>
      <c r="K587" s="199"/>
      <c r="L587" s="199"/>
      <c r="M587" s="199"/>
      <c r="N587" s="197"/>
      <c r="T587" s="128"/>
      <c r="V587" s="173"/>
    </row>
    <row r="588" spans="3:24" ht="12.75" customHeight="1" x14ac:dyDescent="0.25">
      <c r="C588" s="193"/>
      <c r="D588" s="200"/>
      <c r="E588" s="1202" t="str">
        <f>Translations!$B$281</f>
        <v>Please enter here the values and sources for the specific embedded direct and indirect emissions, as obtained from the supplier.</v>
      </c>
      <c r="F588" s="1202"/>
      <c r="G588" s="1202"/>
      <c r="H588" s="1202"/>
      <c r="I588" s="1202"/>
      <c r="J588" s="1202"/>
      <c r="K588" s="1202"/>
      <c r="L588" s="1202"/>
      <c r="M588" s="1202"/>
      <c r="N588" s="392"/>
      <c r="T588" s="128"/>
    </row>
    <row r="589" spans="3:24" ht="12.75" customHeight="1" x14ac:dyDescent="0.25">
      <c r="C589" s="193"/>
      <c r="D589" s="200"/>
      <c r="E589" s="1202" t="str">
        <f>Translations!$B$282</f>
        <v>For the SEE (direct), the 'Type of value' relates to whether the direct emissions are measured, or whether a default value provided by the European Commission was applied.</v>
      </c>
      <c r="F589" s="1202"/>
      <c r="G589" s="1202"/>
      <c r="H589" s="1202"/>
      <c r="I589" s="1202"/>
      <c r="J589" s="1202"/>
      <c r="K589" s="1202"/>
      <c r="L589" s="1202"/>
      <c r="M589" s="1202"/>
      <c r="N589" s="392"/>
      <c r="T589" s="128"/>
    </row>
    <row r="590" spans="3:24" ht="12.75" customHeight="1" x14ac:dyDescent="0.25">
      <c r="C590" s="193"/>
      <c r="D590" s="200"/>
      <c r="E590" s="1202" t="str">
        <f>Translations!$B$283</f>
        <v>In order to obtain these data and information, you may want to ask your supplier to fill in an empty copy of this communication template.</v>
      </c>
      <c r="F590" s="1202"/>
      <c r="G590" s="1202"/>
      <c r="H590" s="1202"/>
      <c r="I590" s="1202"/>
      <c r="J590" s="1202"/>
      <c r="K590" s="1202"/>
      <c r="L590" s="1202"/>
      <c r="M590" s="1202"/>
      <c r="N590" s="392"/>
      <c r="T590" s="128"/>
    </row>
    <row r="591" spans="3:24" ht="12.75" customHeight="1" x14ac:dyDescent="0.25">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x14ac:dyDescent="0.25">
      <c r="C592" s="193"/>
      <c r="D592" s="198" t="s">
        <v>1238</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x14ac:dyDescent="0.25">
      <c r="C593" s="193"/>
      <c r="D593" s="198" t="s">
        <v>1239</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x14ac:dyDescent="0.25">
      <c r="C594" s="193"/>
      <c r="D594" s="198"/>
      <c r="E594" s="196"/>
      <c r="F594" s="196"/>
      <c r="G594" s="196"/>
      <c r="H594" s="196"/>
      <c r="I594" s="196"/>
      <c r="J594" s="196"/>
      <c r="K594" s="196"/>
      <c r="L594" s="196"/>
      <c r="M594" s="196"/>
      <c r="N594" s="197"/>
      <c r="T594" s="128"/>
      <c r="U594" s="126"/>
      <c r="V594" s="173"/>
    </row>
    <row r="595" spans="2:24" ht="12.75" customHeight="1" x14ac:dyDescent="0.25">
      <c r="C595" s="193"/>
      <c r="D595" s="198" t="s">
        <v>1240</v>
      </c>
      <c r="E595" s="202" t="str">
        <f>Translations!$B$1858</f>
        <v>Justification for use of default values (if relevant):</v>
      </c>
      <c r="F595" s="202"/>
      <c r="G595" s="202"/>
      <c r="H595" s="202"/>
      <c r="I595" s="202"/>
      <c r="J595" s="202"/>
      <c r="K595" s="1203"/>
      <c r="L595" s="1203"/>
      <c r="M595" s="1203"/>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x14ac:dyDescent="0.3">
      <c r="C596" s="208"/>
      <c r="D596" s="209"/>
      <c r="E596" s="210"/>
      <c r="F596" s="211"/>
      <c r="G596" s="211"/>
      <c r="H596" s="211"/>
      <c r="I596" s="211"/>
      <c r="J596" s="211"/>
      <c r="K596" s="211"/>
      <c r="L596" s="211"/>
      <c r="M596" s="211"/>
      <c r="N596" s="212"/>
      <c r="T596" s="128"/>
    </row>
    <row r="597" spans="2:24" ht="12.75" customHeight="1" thickBot="1" x14ac:dyDescent="0.3">
      <c r="T597" s="128"/>
    </row>
    <row r="598" spans="2:24" ht="12.75" customHeight="1" thickBot="1" x14ac:dyDescent="0.3">
      <c r="B598" s="150"/>
      <c r="C598" s="150"/>
      <c r="D598" s="150"/>
      <c r="E598" s="150"/>
      <c r="F598" s="150"/>
      <c r="G598" s="150"/>
      <c r="H598" s="150"/>
      <c r="I598" s="150"/>
      <c r="J598" s="150"/>
      <c r="K598" s="150"/>
      <c r="L598" s="150"/>
      <c r="M598" s="150"/>
      <c r="N598" s="150"/>
      <c r="O598" s="150"/>
      <c r="T598" s="128"/>
    </row>
    <row r="599" spans="2:24" ht="18" customHeight="1" thickBot="1" x14ac:dyDescent="0.3">
      <c r="C599" s="152">
        <f>C557+1</f>
        <v>15</v>
      </c>
      <c r="D599" s="153" t="str">
        <f>CONST_PurchPrecursor &amp; " " &amp; C599 &amp; ":"</f>
        <v>Purchased precursor 15:</v>
      </c>
      <c r="G599" s="1191" t="str">
        <f>IF(INDEX(CNTR_List_ExistPurchPrecNames,MATCH(R599,CNTR_ListPurchPrecID,0))=CONST_NA,"",INDEX(CNTR_List_ExistPurchPrecNames,MATCH(R599,CNTR_ListPurchPrecID,0)))</f>
        <v/>
      </c>
      <c r="H599" s="1192"/>
      <c r="I599" s="1192"/>
      <c r="J599" s="1192"/>
      <c r="K599" s="1193"/>
      <c r="L599" s="1194" t="str">
        <f>IF(INDEX(CNTR_List_ExistPurchPrec,MATCH(R599,CNTR_ListPurchPrecID,0))=CONST_NA,"",INDEX(CNTR_List_ExistPurchPrec,MATCH(R599,CNTR_ListPurchPrecID,0)))</f>
        <v/>
      </c>
      <c r="M599" s="1195"/>
      <c r="N599" s="1196"/>
      <c r="R599" s="154" t="str">
        <f>INDEX(CNTR_ListPurchPrecID,C599)</f>
        <v>PP15</v>
      </c>
      <c r="T599" s="128"/>
      <c r="W599" s="104" t="s">
        <v>1330</v>
      </c>
      <c r="X599" s="155" t="b">
        <f>AND(CNTR_HasEntriesA,G599="")</f>
        <v>0</v>
      </c>
    </row>
    <row r="600" spans="2:24" ht="12.75" customHeight="1" x14ac:dyDescent="0.25">
      <c r="D600" s="103"/>
      <c r="E600" s="98"/>
      <c r="T600" s="128"/>
      <c r="W600" s="104"/>
    </row>
    <row r="601" spans="2:24" ht="12.75" customHeight="1" x14ac:dyDescent="0.25">
      <c r="D601" s="120" t="s">
        <v>1331</v>
      </c>
      <c r="E601" s="98" t="str">
        <f>Translations!$B$276</f>
        <v>Total purchased levels:</v>
      </c>
      <c r="H601" s="156" t="str">
        <f>Translations!$B$244</f>
        <v>Production route</v>
      </c>
      <c r="K601" s="157" t="str">
        <f>Translations!$B$221</f>
        <v>Unit</v>
      </c>
      <c r="L601" s="157" t="str">
        <f>Translations!$B$245</f>
        <v>Amounts</v>
      </c>
      <c r="T601" s="128"/>
    </row>
    <row r="602" spans="2:24" ht="12.75" customHeight="1" x14ac:dyDescent="0.25">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x14ac:dyDescent="0.25">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x14ac:dyDescent="0.25">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x14ac:dyDescent="0.25">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x14ac:dyDescent="0.25">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x14ac:dyDescent="0.25">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x14ac:dyDescent="0.25">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x14ac:dyDescent="0.25">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x14ac:dyDescent="0.25">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x14ac:dyDescent="0.25">
      <c r="D611" s="137"/>
      <c r="E611" s="98"/>
      <c r="T611" s="128"/>
    </row>
    <row r="612" spans="4:24" ht="12.75" customHeight="1" x14ac:dyDescent="0.25">
      <c r="D612" s="120" t="s">
        <v>1253</v>
      </c>
      <c r="E612" s="98" t="str">
        <f>Translations!$B$278</f>
        <v>Consumed in "production processes" within the installation:</v>
      </c>
      <c r="F612" s="98"/>
      <c r="G612" s="98"/>
      <c r="H612" s="98"/>
      <c r="I612" s="98"/>
      <c r="J612" s="98"/>
      <c r="K612" s="120" t="str">
        <f>Translations!$B$221</f>
        <v>Unit</v>
      </c>
      <c r="L612" s="120" t="str">
        <f>Translations!$B$245</f>
        <v>Amounts</v>
      </c>
      <c r="S612" s="126" t="s">
        <v>1332</v>
      </c>
      <c r="T612" s="128"/>
    </row>
    <row r="613" spans="4:24" ht="12.75" customHeight="1" x14ac:dyDescent="0.25">
      <c r="D613" s="174">
        <v>1</v>
      </c>
      <c r="E613" s="175" t="str">
        <f t="shared" ref="E613:E622" si="72">IF(INDEX(CNTR_List_ExistProdProcNames,S613)=CONST_NA,"",INDEX(CNTR_List_ExistProdProcNames,S613))</f>
        <v/>
      </c>
      <c r="F613" s="176"/>
      <c r="G613" s="176"/>
      <c r="H613" s="176"/>
      <c r="I613" s="176"/>
      <c r="J613" s="177"/>
      <c r="K613" s="160" t="str">
        <f>IF(E613="","",K610)</f>
        <v/>
      </c>
      <c r="L613" s="28"/>
      <c r="O613" s="161"/>
      <c r="R613" s="102" t="str">
        <f>CONST_PrecursorToGoodInput&amp;G599 &amp;"_"&amp;E613</f>
        <v>PrecToGood__</v>
      </c>
      <c r="S613" s="105">
        <f>D613</f>
        <v>1</v>
      </c>
      <c r="T613" s="127" t="str">
        <f>IF(G599="","",L613)</f>
        <v/>
      </c>
      <c r="V613" s="162" t="str">
        <f>IF(AND(G599&lt;&gt;"",E613&lt;&gt;"",L613&lt;&gt;""),TRUE,IF(AND(G599&lt;&gt;"",E613&lt;&gt;"",L613="",X613=FALSE),CONST_ErrorOrMissing&amp;C599,CONST_NA))</f>
        <v>n.a.</v>
      </c>
      <c r="W613" s="89" t="s">
        <v>1333</v>
      </c>
      <c r="X613" s="102" t="b">
        <f>IF(G599="",FALSE,E613="")</f>
        <v>0</v>
      </c>
    </row>
    <row r="614" spans="4:24" ht="12.75" customHeight="1" x14ac:dyDescent="0.25">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x14ac:dyDescent="0.25">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x14ac:dyDescent="0.25">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x14ac:dyDescent="0.25">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x14ac:dyDescent="0.25">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x14ac:dyDescent="0.25">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x14ac:dyDescent="0.25">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x14ac:dyDescent="0.25">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x14ac:dyDescent="0.25">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x14ac:dyDescent="0.25">
      <c r="D623" s="120" t="s">
        <v>1254</v>
      </c>
      <c r="E623" s="98" t="str">
        <f>Translations!$B$252</f>
        <v>Consumed for non-CBAM goods within the installation:</v>
      </c>
      <c r="F623" s="98"/>
      <c r="G623" s="98"/>
      <c r="H623" s="98"/>
      <c r="I623" s="98"/>
      <c r="J623" s="98"/>
      <c r="K623" s="171" t="str">
        <f>K610</f>
        <v/>
      </c>
      <c r="L623" s="220"/>
      <c r="T623" s="128"/>
    </row>
    <row r="624" spans="4:24" ht="12.75" customHeight="1" x14ac:dyDescent="0.25">
      <c r="D624" s="120" t="s">
        <v>1334</v>
      </c>
      <c r="E624" s="143" t="str">
        <f>Translations!$B$253</f>
        <v>Control:</v>
      </c>
      <c r="F624" s="172"/>
      <c r="G624" s="172"/>
      <c r="H624" s="172"/>
      <c r="I624" s="172"/>
      <c r="J624" s="172"/>
      <c r="K624" s="171" t="str">
        <f>K623</f>
        <v/>
      </c>
      <c r="L624" s="121" t="str">
        <f>IF(G599="","",SUM(L610)-SUM(L613:L623))</f>
        <v/>
      </c>
      <c r="T624" s="128"/>
    </row>
    <row r="625" spans="2:24" ht="12.75" customHeight="1" thickBot="1" x14ac:dyDescent="0.3">
      <c r="T625" s="128"/>
    </row>
    <row r="626" spans="2:24" ht="12.75" customHeight="1" x14ac:dyDescent="0.25">
      <c r="C626" s="188"/>
      <c r="D626" s="189"/>
      <c r="E626" s="190"/>
      <c r="F626" s="191"/>
      <c r="G626" s="191"/>
      <c r="H626" s="191"/>
      <c r="I626" s="191"/>
      <c r="J626" s="191"/>
      <c r="K626" s="191"/>
      <c r="L626" s="191"/>
      <c r="M626" s="191"/>
      <c r="N626" s="192"/>
      <c r="T626" s="128"/>
    </row>
    <row r="627" spans="2:24" ht="15" customHeight="1" x14ac:dyDescent="0.25">
      <c r="C627" s="193"/>
      <c r="D627" s="194" t="str">
        <f>Translations!$B$279</f>
        <v>Specific embedded emissions:</v>
      </c>
      <c r="E627" s="195"/>
      <c r="F627" s="196"/>
      <c r="G627" s="196"/>
      <c r="H627" s="196"/>
      <c r="I627" s="196"/>
      <c r="J627" s="1201" t="str">
        <f>IF(G599="","",G599)</f>
        <v/>
      </c>
      <c r="K627" s="1201"/>
      <c r="L627" s="1201"/>
      <c r="M627" s="1201"/>
      <c r="N627" s="197"/>
      <c r="T627" s="128"/>
    </row>
    <row r="628" spans="2:24" ht="5.0999999999999996" customHeight="1" x14ac:dyDescent="0.25">
      <c r="C628" s="193"/>
      <c r="D628" s="198"/>
      <c r="E628" s="199"/>
      <c r="F628" s="196"/>
      <c r="G628" s="196"/>
      <c r="H628" s="196"/>
      <c r="I628" s="196"/>
      <c r="J628" s="196"/>
      <c r="K628" s="196"/>
      <c r="L628" s="196"/>
      <c r="M628" s="196"/>
      <c r="N628" s="197"/>
      <c r="T628" s="128"/>
    </row>
    <row r="629" spans="2:24" ht="12.75" customHeight="1" x14ac:dyDescent="0.25">
      <c r="C629" s="193"/>
      <c r="D629" s="200" t="s">
        <v>1335</v>
      </c>
      <c r="E629" s="199" t="str">
        <f>Translations!$B$280</f>
        <v>Emissions embedded in this purchased precursor</v>
      </c>
      <c r="F629" s="199"/>
      <c r="G629" s="199"/>
      <c r="H629" s="199"/>
      <c r="I629" s="199"/>
      <c r="J629" s="199"/>
      <c r="K629" s="199"/>
      <c r="L629" s="199"/>
      <c r="M629" s="199"/>
      <c r="N629" s="197"/>
      <c r="T629" s="128"/>
      <c r="V629" s="173"/>
    </row>
    <row r="630" spans="2:24" ht="12.75" customHeight="1" x14ac:dyDescent="0.25">
      <c r="C630" s="193"/>
      <c r="D630" s="200"/>
      <c r="E630" s="1202" t="str">
        <f>Translations!$B$281</f>
        <v>Please enter here the values and sources for the specific embedded direct and indirect emissions, as obtained from the supplier.</v>
      </c>
      <c r="F630" s="1202"/>
      <c r="G630" s="1202"/>
      <c r="H630" s="1202"/>
      <c r="I630" s="1202"/>
      <c r="J630" s="1202"/>
      <c r="K630" s="1202"/>
      <c r="L630" s="1202"/>
      <c r="M630" s="1202"/>
      <c r="N630" s="392"/>
      <c r="T630" s="128"/>
    </row>
    <row r="631" spans="2:24" ht="12.75" customHeight="1" x14ac:dyDescent="0.25">
      <c r="C631" s="193"/>
      <c r="D631" s="200"/>
      <c r="E631" s="1202" t="str">
        <f>Translations!$B$282</f>
        <v>For the SEE (direct), the 'Type of value' relates to whether the direct emissions are measured, or whether a default value provided by the European Commission was applied.</v>
      </c>
      <c r="F631" s="1202"/>
      <c r="G631" s="1202"/>
      <c r="H631" s="1202"/>
      <c r="I631" s="1202"/>
      <c r="J631" s="1202"/>
      <c r="K631" s="1202"/>
      <c r="L631" s="1202"/>
      <c r="M631" s="1202"/>
      <c r="N631" s="392"/>
      <c r="T631" s="128"/>
    </row>
    <row r="632" spans="2:24" ht="12.75" customHeight="1" x14ac:dyDescent="0.25">
      <c r="C632" s="193"/>
      <c r="D632" s="200"/>
      <c r="E632" s="1202" t="str">
        <f>Translations!$B$283</f>
        <v>In order to obtain these data and information, you may want to ask your supplier to fill in an empty copy of this communication template.</v>
      </c>
      <c r="F632" s="1202"/>
      <c r="G632" s="1202"/>
      <c r="H632" s="1202"/>
      <c r="I632" s="1202"/>
      <c r="J632" s="1202"/>
      <c r="K632" s="1202"/>
      <c r="L632" s="1202"/>
      <c r="M632" s="1202"/>
      <c r="N632" s="392"/>
      <c r="T632" s="128"/>
    </row>
    <row r="633" spans="2:24" ht="12.75" customHeight="1" x14ac:dyDescent="0.25">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x14ac:dyDescent="0.25">
      <c r="C634" s="193"/>
      <c r="D634" s="198" t="s">
        <v>1238</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x14ac:dyDescent="0.25">
      <c r="C635" s="193"/>
      <c r="D635" s="198" t="s">
        <v>1239</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x14ac:dyDescent="0.25">
      <c r="C636" s="193"/>
      <c r="D636" s="198"/>
      <c r="E636" s="196"/>
      <c r="F636" s="196"/>
      <c r="G636" s="196"/>
      <c r="H636" s="196"/>
      <c r="I636" s="196"/>
      <c r="J636" s="196"/>
      <c r="K636" s="196"/>
      <c r="L636" s="196"/>
      <c r="M636" s="196"/>
      <c r="N636" s="197"/>
      <c r="T636" s="128"/>
      <c r="U636" s="126"/>
      <c r="V636" s="173"/>
    </row>
    <row r="637" spans="2:24" ht="12.75" customHeight="1" x14ac:dyDescent="0.25">
      <c r="C637" s="193"/>
      <c r="D637" s="198" t="s">
        <v>1240</v>
      </c>
      <c r="E637" s="202" t="str">
        <f>Translations!$B$1858</f>
        <v>Justification for use of default values (if relevant):</v>
      </c>
      <c r="F637" s="202"/>
      <c r="G637" s="202"/>
      <c r="H637" s="202"/>
      <c r="I637" s="202"/>
      <c r="J637" s="202"/>
      <c r="K637" s="1203"/>
      <c r="L637" s="1203"/>
      <c r="M637" s="1203"/>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x14ac:dyDescent="0.3">
      <c r="C638" s="208"/>
      <c r="D638" s="209"/>
      <c r="E638" s="210"/>
      <c r="F638" s="211"/>
      <c r="G638" s="211"/>
      <c r="H638" s="211"/>
      <c r="I638" s="211"/>
      <c r="J638" s="211"/>
      <c r="K638" s="211"/>
      <c r="L638" s="211"/>
      <c r="M638" s="211"/>
      <c r="N638" s="212"/>
      <c r="T638" s="128"/>
    </row>
    <row r="639" spans="2:24" ht="12.75" customHeight="1" thickBot="1" x14ac:dyDescent="0.3">
      <c r="T639" s="128"/>
    </row>
    <row r="640" spans="2:24" ht="12.75" customHeight="1" thickBot="1" x14ac:dyDescent="0.3">
      <c r="B640" s="150"/>
      <c r="C640" s="150"/>
      <c r="D640" s="150"/>
      <c r="E640" s="150"/>
      <c r="F640" s="150"/>
      <c r="G640" s="150"/>
      <c r="H640" s="150"/>
      <c r="I640" s="150"/>
      <c r="J640" s="150"/>
      <c r="K640" s="150"/>
      <c r="L640" s="150"/>
      <c r="M640" s="150"/>
      <c r="N640" s="150"/>
      <c r="O640" s="150"/>
      <c r="T640" s="128"/>
    </row>
    <row r="641" spans="3:24" ht="18" customHeight="1" thickBot="1" x14ac:dyDescent="0.3">
      <c r="C641" s="152">
        <f>C599+1</f>
        <v>16</v>
      </c>
      <c r="D641" s="153" t="str">
        <f>CONST_PurchPrecursor &amp; " " &amp; C641 &amp; ":"</f>
        <v>Purchased precursor 16:</v>
      </c>
      <c r="G641" s="1191" t="str">
        <f>IF(INDEX(CNTR_List_ExistPurchPrecNames,MATCH(R641,CNTR_ListPurchPrecID,0))=CONST_NA,"",INDEX(CNTR_List_ExistPurchPrecNames,MATCH(R641,CNTR_ListPurchPrecID,0)))</f>
        <v/>
      </c>
      <c r="H641" s="1192"/>
      <c r="I641" s="1192"/>
      <c r="J641" s="1192"/>
      <c r="K641" s="1193"/>
      <c r="L641" s="1194" t="str">
        <f>IF(INDEX(CNTR_List_ExistPurchPrec,MATCH(R641,CNTR_ListPurchPrecID,0))=CONST_NA,"",INDEX(CNTR_List_ExistPurchPrec,MATCH(R641,CNTR_ListPurchPrecID,0)))</f>
        <v/>
      </c>
      <c r="M641" s="1195"/>
      <c r="N641" s="1196"/>
      <c r="R641" s="154" t="str">
        <f>INDEX(CNTR_ListPurchPrecID,C641)</f>
        <v>PP16</v>
      </c>
      <c r="T641" s="128"/>
      <c r="W641" s="104" t="s">
        <v>1330</v>
      </c>
      <c r="X641" s="155" t="b">
        <f>AND(CNTR_HasEntriesA,G641="")</f>
        <v>0</v>
      </c>
    </row>
    <row r="642" spans="3:24" ht="12.75" customHeight="1" x14ac:dyDescent="0.25">
      <c r="D642" s="103"/>
      <c r="E642" s="98"/>
      <c r="T642" s="128"/>
      <c r="W642" s="104"/>
    </row>
    <row r="643" spans="3:24" ht="12.75" customHeight="1" x14ac:dyDescent="0.25">
      <c r="D643" s="120" t="s">
        <v>1331</v>
      </c>
      <c r="E643" s="98" t="str">
        <f>Translations!$B$276</f>
        <v>Total purchased levels:</v>
      </c>
      <c r="H643" s="156" t="str">
        <f>Translations!$B$244</f>
        <v>Production route</v>
      </c>
      <c r="K643" s="157" t="str">
        <f>Translations!$B$221</f>
        <v>Unit</v>
      </c>
      <c r="L643" s="157" t="str">
        <f>Translations!$B$245</f>
        <v>Amounts</v>
      </c>
      <c r="T643" s="128"/>
    </row>
    <row r="644" spans="3:24" ht="12.75" customHeight="1" x14ac:dyDescent="0.25">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x14ac:dyDescent="0.25">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x14ac:dyDescent="0.25">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x14ac:dyDescent="0.25">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x14ac:dyDescent="0.25">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x14ac:dyDescent="0.25">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x14ac:dyDescent="0.25">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x14ac:dyDescent="0.25">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x14ac:dyDescent="0.25">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x14ac:dyDescent="0.25">
      <c r="D653" s="137"/>
      <c r="E653" s="98"/>
      <c r="T653" s="128"/>
    </row>
    <row r="654" spans="3:24" ht="12.75" customHeight="1" x14ac:dyDescent="0.25">
      <c r="D654" s="120" t="s">
        <v>1253</v>
      </c>
      <c r="E654" s="98" t="str">
        <f>Translations!$B$278</f>
        <v>Consumed in "production processes" within the installation:</v>
      </c>
      <c r="F654" s="98"/>
      <c r="G654" s="98"/>
      <c r="H654" s="98"/>
      <c r="I654" s="98"/>
      <c r="J654" s="98"/>
      <c r="K654" s="120" t="str">
        <f>Translations!$B$221</f>
        <v>Unit</v>
      </c>
      <c r="L654" s="120" t="str">
        <f>Translations!$B$245</f>
        <v>Amounts</v>
      </c>
      <c r="S654" s="126" t="s">
        <v>1332</v>
      </c>
      <c r="T654" s="128"/>
    </row>
    <row r="655" spans="3:24" ht="12.75" customHeight="1" x14ac:dyDescent="0.25">
      <c r="D655" s="174">
        <v>1</v>
      </c>
      <c r="E655" s="175" t="str">
        <f t="shared" ref="E655:E664" si="77">IF(INDEX(CNTR_List_ExistProdProcNames,S655)=CONST_NA,"",INDEX(CNTR_List_ExistProdProcNames,S655))</f>
        <v/>
      </c>
      <c r="F655" s="176"/>
      <c r="G655" s="176"/>
      <c r="H655" s="176"/>
      <c r="I655" s="176"/>
      <c r="J655" s="177"/>
      <c r="K655" s="160" t="str">
        <f>IF(E655="","",K652)</f>
        <v/>
      </c>
      <c r="L655" s="28"/>
      <c r="O655" s="161"/>
      <c r="R655" s="102" t="str">
        <f>CONST_PrecursorToGoodInput&amp;G641 &amp;"_"&amp;E655</f>
        <v>PrecToGood__</v>
      </c>
      <c r="S655" s="105">
        <f>D655</f>
        <v>1</v>
      </c>
      <c r="T655" s="127" t="str">
        <f>IF(G641="","",L655)</f>
        <v/>
      </c>
      <c r="V655" s="162" t="str">
        <f>IF(AND(G641&lt;&gt;"",E655&lt;&gt;"",L655&lt;&gt;""),TRUE,IF(AND(G641&lt;&gt;"",E655&lt;&gt;"",L655="",X655=FALSE),CONST_ErrorOrMissing&amp;C641,CONST_NA))</f>
        <v>n.a.</v>
      </c>
      <c r="W655" s="89" t="s">
        <v>1333</v>
      </c>
      <c r="X655" s="102" t="b">
        <f>IF(G641="",FALSE,E655="")</f>
        <v>0</v>
      </c>
    </row>
    <row r="656" spans="3:24" ht="12.75" customHeight="1" x14ac:dyDescent="0.25">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x14ac:dyDescent="0.25">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x14ac:dyDescent="0.25">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x14ac:dyDescent="0.25">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x14ac:dyDescent="0.25">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x14ac:dyDescent="0.25">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x14ac:dyDescent="0.25">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x14ac:dyDescent="0.25">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x14ac:dyDescent="0.25">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x14ac:dyDescent="0.25">
      <c r="D665" s="120" t="s">
        <v>1254</v>
      </c>
      <c r="E665" s="98" t="str">
        <f>Translations!$B$252</f>
        <v>Consumed for non-CBAM goods within the installation:</v>
      </c>
      <c r="F665" s="98"/>
      <c r="G665" s="98"/>
      <c r="H665" s="98"/>
      <c r="I665" s="98"/>
      <c r="J665" s="98"/>
      <c r="K665" s="171" t="str">
        <f>K652</f>
        <v/>
      </c>
      <c r="L665" s="220"/>
      <c r="T665" s="128"/>
    </row>
    <row r="666" spans="3:24" ht="12.75" customHeight="1" x14ac:dyDescent="0.25">
      <c r="D666" s="120" t="s">
        <v>1334</v>
      </c>
      <c r="E666" s="143" t="str">
        <f>Translations!$B$253</f>
        <v>Control:</v>
      </c>
      <c r="F666" s="172"/>
      <c r="G666" s="172"/>
      <c r="H666" s="172"/>
      <c r="I666" s="172"/>
      <c r="J666" s="172"/>
      <c r="K666" s="171" t="str">
        <f>K665</f>
        <v/>
      </c>
      <c r="L666" s="121" t="str">
        <f>IF(G641="","",SUM(L652)-SUM(L655:L665))</f>
        <v/>
      </c>
      <c r="T666" s="128"/>
    </row>
    <row r="667" spans="3:24" ht="12.75" customHeight="1" thickBot="1" x14ac:dyDescent="0.3">
      <c r="T667" s="128"/>
    </row>
    <row r="668" spans="3:24" ht="12.75" customHeight="1" x14ac:dyDescent="0.25">
      <c r="C668" s="188"/>
      <c r="D668" s="189"/>
      <c r="E668" s="190"/>
      <c r="F668" s="191"/>
      <c r="G668" s="191"/>
      <c r="H668" s="191"/>
      <c r="I668" s="191"/>
      <c r="J668" s="191"/>
      <c r="K668" s="191"/>
      <c r="L668" s="191"/>
      <c r="M668" s="191"/>
      <c r="N668" s="192"/>
      <c r="T668" s="128"/>
    </row>
    <row r="669" spans="3:24" ht="15" customHeight="1" x14ac:dyDescent="0.25">
      <c r="C669" s="193"/>
      <c r="D669" s="194" t="str">
        <f>Translations!$B$279</f>
        <v>Specific embedded emissions:</v>
      </c>
      <c r="E669" s="195"/>
      <c r="F669" s="196"/>
      <c r="G669" s="196"/>
      <c r="H669" s="196"/>
      <c r="I669" s="196"/>
      <c r="J669" s="1201" t="str">
        <f>IF(G641="","",G641)</f>
        <v/>
      </c>
      <c r="K669" s="1201"/>
      <c r="L669" s="1201"/>
      <c r="M669" s="1201"/>
      <c r="N669" s="197"/>
      <c r="T669" s="128"/>
    </row>
    <row r="670" spans="3:24" ht="5.0999999999999996" customHeight="1" x14ac:dyDescent="0.25">
      <c r="C670" s="193"/>
      <c r="D670" s="198"/>
      <c r="E670" s="199"/>
      <c r="F670" s="196"/>
      <c r="G670" s="196"/>
      <c r="H670" s="196"/>
      <c r="I670" s="196"/>
      <c r="J670" s="196"/>
      <c r="K670" s="196"/>
      <c r="L670" s="196"/>
      <c r="M670" s="196"/>
      <c r="N670" s="197"/>
      <c r="T670" s="128"/>
    </row>
    <row r="671" spans="3:24" ht="12.75" customHeight="1" x14ac:dyDescent="0.25">
      <c r="C671" s="193"/>
      <c r="D671" s="200" t="s">
        <v>1335</v>
      </c>
      <c r="E671" s="199" t="str">
        <f>Translations!$B$280</f>
        <v>Emissions embedded in this purchased precursor</v>
      </c>
      <c r="F671" s="199"/>
      <c r="G671" s="199"/>
      <c r="H671" s="199"/>
      <c r="I671" s="199"/>
      <c r="J671" s="199"/>
      <c r="K671" s="199"/>
      <c r="L671" s="199"/>
      <c r="M671" s="199"/>
      <c r="N671" s="197"/>
      <c r="T671" s="128"/>
      <c r="V671" s="173"/>
    </row>
    <row r="672" spans="3:24" ht="12.75" customHeight="1" x14ac:dyDescent="0.25">
      <c r="C672" s="193"/>
      <c r="D672" s="200"/>
      <c r="E672" s="1202" t="str">
        <f>Translations!$B$281</f>
        <v>Please enter here the values and sources for the specific embedded direct and indirect emissions, as obtained from the supplier.</v>
      </c>
      <c r="F672" s="1202"/>
      <c r="G672" s="1202"/>
      <c r="H672" s="1202"/>
      <c r="I672" s="1202"/>
      <c r="J672" s="1202"/>
      <c r="K672" s="1202"/>
      <c r="L672" s="1202"/>
      <c r="M672" s="1202"/>
      <c r="N672" s="392"/>
      <c r="T672" s="128"/>
    </row>
    <row r="673" spans="2:24" ht="12.75" customHeight="1" x14ac:dyDescent="0.25">
      <c r="C673" s="193"/>
      <c r="D673" s="200"/>
      <c r="E673" s="1202" t="str">
        <f>Translations!$B$282</f>
        <v>For the SEE (direct), the 'Type of value' relates to whether the direct emissions are measured, or whether a default value provided by the European Commission was applied.</v>
      </c>
      <c r="F673" s="1202"/>
      <c r="G673" s="1202"/>
      <c r="H673" s="1202"/>
      <c r="I673" s="1202"/>
      <c r="J673" s="1202"/>
      <c r="K673" s="1202"/>
      <c r="L673" s="1202"/>
      <c r="M673" s="1202"/>
      <c r="N673" s="392"/>
      <c r="T673" s="128"/>
    </row>
    <row r="674" spans="2:24" ht="12.75" customHeight="1" x14ac:dyDescent="0.25">
      <c r="C674" s="193"/>
      <c r="D674" s="200"/>
      <c r="E674" s="1202" t="str">
        <f>Translations!$B$283</f>
        <v>In order to obtain these data and information, you may want to ask your supplier to fill in an empty copy of this communication template.</v>
      </c>
      <c r="F674" s="1202"/>
      <c r="G674" s="1202"/>
      <c r="H674" s="1202"/>
      <c r="I674" s="1202"/>
      <c r="J674" s="1202"/>
      <c r="K674" s="1202"/>
      <c r="L674" s="1202"/>
      <c r="M674" s="1202"/>
      <c r="N674" s="392"/>
      <c r="T674" s="128"/>
    </row>
    <row r="675" spans="2:24" ht="12.75" customHeight="1" x14ac:dyDescent="0.25">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x14ac:dyDescent="0.25">
      <c r="C676" s="193"/>
      <c r="D676" s="198" t="s">
        <v>1238</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x14ac:dyDescent="0.25">
      <c r="C677" s="193"/>
      <c r="D677" s="198" t="s">
        <v>1239</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x14ac:dyDescent="0.25">
      <c r="C678" s="193"/>
      <c r="D678" s="198"/>
      <c r="E678" s="196"/>
      <c r="F678" s="196"/>
      <c r="G678" s="196"/>
      <c r="H678" s="196"/>
      <c r="I678" s="196"/>
      <c r="J678" s="196"/>
      <c r="K678" s="196"/>
      <c r="L678" s="196"/>
      <c r="M678" s="196"/>
      <c r="N678" s="197"/>
      <c r="T678" s="128"/>
      <c r="U678" s="126"/>
      <c r="V678" s="173"/>
    </row>
    <row r="679" spans="2:24" ht="12.75" customHeight="1" x14ac:dyDescent="0.25">
      <c r="C679" s="193"/>
      <c r="D679" s="198" t="s">
        <v>1240</v>
      </c>
      <c r="E679" s="202" t="str">
        <f>Translations!$B$1858</f>
        <v>Justification for use of default values (if relevant):</v>
      </c>
      <c r="F679" s="202"/>
      <c r="G679" s="202"/>
      <c r="H679" s="202"/>
      <c r="I679" s="202"/>
      <c r="J679" s="202"/>
      <c r="K679" s="1203"/>
      <c r="L679" s="1203"/>
      <c r="M679" s="1203"/>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x14ac:dyDescent="0.3">
      <c r="C680" s="208"/>
      <c r="D680" s="209"/>
      <c r="E680" s="210"/>
      <c r="F680" s="211"/>
      <c r="G680" s="211"/>
      <c r="H680" s="211"/>
      <c r="I680" s="211"/>
      <c r="J680" s="211"/>
      <c r="K680" s="211"/>
      <c r="L680" s="211"/>
      <c r="M680" s="211"/>
      <c r="N680" s="212"/>
      <c r="T680" s="128"/>
    </row>
    <row r="681" spans="2:24" ht="12.75" customHeight="1" thickBot="1" x14ac:dyDescent="0.3">
      <c r="T681" s="128"/>
    </row>
    <row r="682" spans="2:24" ht="12.75" customHeight="1" thickBot="1" x14ac:dyDescent="0.3">
      <c r="B682" s="150"/>
      <c r="C682" s="150"/>
      <c r="D682" s="150"/>
      <c r="E682" s="150"/>
      <c r="F682" s="150"/>
      <c r="G682" s="150"/>
      <c r="H682" s="150"/>
      <c r="I682" s="150"/>
      <c r="J682" s="150"/>
      <c r="K682" s="150"/>
      <c r="L682" s="150"/>
      <c r="M682" s="150"/>
      <c r="N682" s="150"/>
      <c r="O682" s="150"/>
      <c r="T682" s="128"/>
    </row>
    <row r="683" spans="2:24" ht="18" customHeight="1" thickBot="1" x14ac:dyDescent="0.3">
      <c r="C683" s="152">
        <f>C641+1</f>
        <v>17</v>
      </c>
      <c r="D683" s="153" t="str">
        <f>CONST_PurchPrecursor &amp; " " &amp; C683 &amp; ":"</f>
        <v>Purchased precursor 17:</v>
      </c>
      <c r="G683" s="1191" t="str">
        <f>IF(INDEX(CNTR_List_ExistPurchPrecNames,MATCH(R683,CNTR_ListPurchPrecID,0))=CONST_NA,"",INDEX(CNTR_List_ExistPurchPrecNames,MATCH(R683,CNTR_ListPurchPrecID,0)))</f>
        <v/>
      </c>
      <c r="H683" s="1192"/>
      <c r="I683" s="1192"/>
      <c r="J683" s="1192"/>
      <c r="K683" s="1193"/>
      <c r="L683" s="1194" t="str">
        <f>IF(INDEX(CNTR_List_ExistPurchPrec,MATCH(R683,CNTR_ListPurchPrecID,0))=CONST_NA,"",INDEX(CNTR_List_ExistPurchPrec,MATCH(R683,CNTR_ListPurchPrecID,0)))</f>
        <v/>
      </c>
      <c r="M683" s="1195"/>
      <c r="N683" s="1196"/>
      <c r="R683" s="154" t="str">
        <f>INDEX(CNTR_ListPurchPrecID,C683)</f>
        <v>PP17</v>
      </c>
      <c r="T683" s="128"/>
      <c r="W683" s="104" t="s">
        <v>1330</v>
      </c>
      <c r="X683" s="155" t="b">
        <f>AND(CNTR_HasEntriesA,G683="")</f>
        <v>0</v>
      </c>
    </row>
    <row r="684" spans="2:24" ht="12.75" customHeight="1" x14ac:dyDescent="0.25">
      <c r="D684" s="103"/>
      <c r="E684" s="98"/>
      <c r="T684" s="128"/>
      <c r="W684" s="104"/>
    </row>
    <row r="685" spans="2:24" ht="12.75" customHeight="1" x14ac:dyDescent="0.25">
      <c r="D685" s="120" t="s">
        <v>1331</v>
      </c>
      <c r="E685" s="98" t="str">
        <f>Translations!$B$276</f>
        <v>Total purchased levels:</v>
      </c>
      <c r="H685" s="156" t="str">
        <f>Translations!$B$244</f>
        <v>Production route</v>
      </c>
      <c r="K685" s="157" t="str">
        <f>Translations!$B$221</f>
        <v>Unit</v>
      </c>
      <c r="L685" s="157" t="str">
        <f>Translations!$B$245</f>
        <v>Amounts</v>
      </c>
      <c r="T685" s="128"/>
    </row>
    <row r="686" spans="2:24" ht="12.75" customHeight="1" x14ac:dyDescent="0.25">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x14ac:dyDescent="0.25">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x14ac:dyDescent="0.25">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x14ac:dyDescent="0.25">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x14ac:dyDescent="0.25">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x14ac:dyDescent="0.25">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x14ac:dyDescent="0.25">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x14ac:dyDescent="0.25">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x14ac:dyDescent="0.25">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x14ac:dyDescent="0.25">
      <c r="D695" s="137"/>
      <c r="E695" s="98"/>
      <c r="T695" s="128"/>
    </row>
    <row r="696" spans="4:24" ht="12.75" customHeight="1" x14ac:dyDescent="0.25">
      <c r="D696" s="120" t="s">
        <v>1253</v>
      </c>
      <c r="E696" s="98" t="str">
        <f>Translations!$B$278</f>
        <v>Consumed in "production processes" within the installation:</v>
      </c>
      <c r="F696" s="98"/>
      <c r="G696" s="98"/>
      <c r="H696" s="98"/>
      <c r="I696" s="98"/>
      <c r="J696" s="98"/>
      <c r="K696" s="120" t="str">
        <f>Translations!$B$221</f>
        <v>Unit</v>
      </c>
      <c r="L696" s="120" t="str">
        <f>Translations!$B$245</f>
        <v>Amounts</v>
      </c>
      <c r="S696" s="126" t="s">
        <v>1332</v>
      </c>
      <c r="T696" s="128"/>
    </row>
    <row r="697" spans="4:24" ht="12.75" customHeight="1" x14ac:dyDescent="0.25">
      <c r="D697" s="174">
        <v>1</v>
      </c>
      <c r="E697" s="175" t="str">
        <f t="shared" ref="E697:E706" si="82">IF(INDEX(CNTR_List_ExistProdProcNames,S697)=CONST_NA,"",INDEX(CNTR_List_ExistProdProcNames,S697))</f>
        <v/>
      </c>
      <c r="F697" s="176"/>
      <c r="G697" s="176"/>
      <c r="H697" s="176"/>
      <c r="I697" s="176"/>
      <c r="J697" s="177"/>
      <c r="K697" s="160" t="str">
        <f>IF(E697="","",K694)</f>
        <v/>
      </c>
      <c r="L697" s="28"/>
      <c r="O697" s="161"/>
      <c r="R697" s="102" t="str">
        <f>CONST_PrecursorToGoodInput&amp;G683 &amp;"_"&amp;E697</f>
        <v>PrecToGood__</v>
      </c>
      <c r="S697" s="105">
        <f>D697</f>
        <v>1</v>
      </c>
      <c r="T697" s="127" t="str">
        <f>IF(G683="","",L697)</f>
        <v/>
      </c>
      <c r="V697" s="162" t="str">
        <f>IF(AND(G683&lt;&gt;"",E697&lt;&gt;"",L697&lt;&gt;""),TRUE,IF(AND(G683&lt;&gt;"",E697&lt;&gt;"",L697="",X697=FALSE),CONST_ErrorOrMissing&amp;C683,CONST_NA))</f>
        <v>n.a.</v>
      </c>
      <c r="W697" s="89" t="s">
        <v>1333</v>
      </c>
      <c r="X697" s="102" t="b">
        <f>IF(G683="",FALSE,E697="")</f>
        <v>0</v>
      </c>
    </row>
    <row r="698" spans="4:24" ht="12.75" customHeight="1" x14ac:dyDescent="0.25">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x14ac:dyDescent="0.25">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x14ac:dyDescent="0.25">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x14ac:dyDescent="0.25">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x14ac:dyDescent="0.25">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x14ac:dyDescent="0.25">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x14ac:dyDescent="0.25">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x14ac:dyDescent="0.25">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x14ac:dyDescent="0.25">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x14ac:dyDescent="0.25">
      <c r="D707" s="120" t="s">
        <v>1254</v>
      </c>
      <c r="E707" s="98" t="str">
        <f>Translations!$B$252</f>
        <v>Consumed for non-CBAM goods within the installation:</v>
      </c>
      <c r="F707" s="98"/>
      <c r="G707" s="98"/>
      <c r="H707" s="98"/>
      <c r="I707" s="98"/>
      <c r="J707" s="98"/>
      <c r="K707" s="171" t="str">
        <f>K694</f>
        <v/>
      </c>
      <c r="L707" s="220"/>
      <c r="T707" s="128"/>
    </row>
    <row r="708" spans="3:24" ht="12.75" customHeight="1" x14ac:dyDescent="0.25">
      <c r="D708" s="120" t="s">
        <v>1334</v>
      </c>
      <c r="E708" s="143" t="str">
        <f>Translations!$B$253</f>
        <v>Control:</v>
      </c>
      <c r="F708" s="172"/>
      <c r="G708" s="172"/>
      <c r="H708" s="172"/>
      <c r="I708" s="172"/>
      <c r="J708" s="172"/>
      <c r="K708" s="171" t="str">
        <f>K707</f>
        <v/>
      </c>
      <c r="L708" s="121" t="str">
        <f>IF(G683="","",SUM(L694)-SUM(L697:L707))</f>
        <v/>
      </c>
      <c r="T708" s="128"/>
    </row>
    <row r="709" spans="3:24" ht="12.75" customHeight="1" thickBot="1" x14ac:dyDescent="0.3">
      <c r="T709" s="128"/>
    </row>
    <row r="710" spans="3:24" ht="12.75" customHeight="1" x14ac:dyDescent="0.25">
      <c r="C710" s="188"/>
      <c r="D710" s="189"/>
      <c r="E710" s="190"/>
      <c r="F710" s="191"/>
      <c r="G710" s="191"/>
      <c r="H710" s="191"/>
      <c r="I710" s="191"/>
      <c r="J710" s="191"/>
      <c r="K710" s="191"/>
      <c r="L710" s="191"/>
      <c r="M710" s="191"/>
      <c r="N710" s="192"/>
      <c r="T710" s="128"/>
    </row>
    <row r="711" spans="3:24" ht="15" customHeight="1" x14ac:dyDescent="0.25">
      <c r="C711" s="193"/>
      <c r="D711" s="194" t="str">
        <f>Translations!$B$279</f>
        <v>Specific embedded emissions:</v>
      </c>
      <c r="E711" s="195"/>
      <c r="F711" s="196"/>
      <c r="G711" s="196"/>
      <c r="H711" s="196"/>
      <c r="I711" s="196"/>
      <c r="J711" s="1201" t="str">
        <f>IF(G683="","",G683)</f>
        <v/>
      </c>
      <c r="K711" s="1201"/>
      <c r="L711" s="1201"/>
      <c r="M711" s="1201"/>
      <c r="N711" s="197"/>
      <c r="T711" s="128"/>
    </row>
    <row r="712" spans="3:24" ht="5.0999999999999996" customHeight="1" x14ac:dyDescent="0.25">
      <c r="C712" s="193"/>
      <c r="D712" s="198"/>
      <c r="E712" s="199"/>
      <c r="F712" s="196"/>
      <c r="G712" s="196"/>
      <c r="H712" s="196"/>
      <c r="I712" s="196"/>
      <c r="J712" s="196"/>
      <c r="K712" s="196"/>
      <c r="L712" s="196"/>
      <c r="M712" s="196"/>
      <c r="N712" s="197"/>
      <c r="T712" s="128"/>
    </row>
    <row r="713" spans="3:24" ht="12.75" customHeight="1" x14ac:dyDescent="0.25">
      <c r="C713" s="193"/>
      <c r="D713" s="200" t="s">
        <v>1335</v>
      </c>
      <c r="E713" s="199" t="str">
        <f>Translations!$B$280</f>
        <v>Emissions embedded in this purchased precursor</v>
      </c>
      <c r="F713" s="199"/>
      <c r="G713" s="199"/>
      <c r="H713" s="199"/>
      <c r="I713" s="199"/>
      <c r="J713" s="199"/>
      <c r="K713" s="199"/>
      <c r="L713" s="199"/>
      <c r="M713" s="199"/>
      <c r="N713" s="197"/>
      <c r="T713" s="128"/>
      <c r="V713" s="173"/>
    </row>
    <row r="714" spans="3:24" ht="12.75" customHeight="1" x14ac:dyDescent="0.25">
      <c r="C714" s="193"/>
      <c r="D714" s="200"/>
      <c r="E714" s="1202" t="str">
        <f>Translations!$B$281</f>
        <v>Please enter here the values and sources for the specific embedded direct and indirect emissions, as obtained from the supplier.</v>
      </c>
      <c r="F714" s="1202"/>
      <c r="G714" s="1202"/>
      <c r="H714" s="1202"/>
      <c r="I714" s="1202"/>
      <c r="J714" s="1202"/>
      <c r="K714" s="1202"/>
      <c r="L714" s="1202"/>
      <c r="M714" s="1202"/>
      <c r="N714" s="392"/>
      <c r="T714" s="128"/>
    </row>
    <row r="715" spans="3:24" ht="12.75" customHeight="1" x14ac:dyDescent="0.25">
      <c r="C715" s="193"/>
      <c r="D715" s="200"/>
      <c r="E715" s="1202" t="str">
        <f>Translations!$B$282</f>
        <v>For the SEE (direct), the 'Type of value' relates to whether the direct emissions are measured, or whether a default value provided by the European Commission was applied.</v>
      </c>
      <c r="F715" s="1202"/>
      <c r="G715" s="1202"/>
      <c r="H715" s="1202"/>
      <c r="I715" s="1202"/>
      <c r="J715" s="1202"/>
      <c r="K715" s="1202"/>
      <c r="L715" s="1202"/>
      <c r="M715" s="1202"/>
      <c r="N715" s="392"/>
      <c r="T715" s="128"/>
    </row>
    <row r="716" spans="3:24" ht="12.75" customHeight="1" x14ac:dyDescent="0.25">
      <c r="C716" s="193"/>
      <c r="D716" s="200"/>
      <c r="E716" s="1202" t="str">
        <f>Translations!$B$283</f>
        <v>In order to obtain these data and information, you may want to ask your supplier to fill in an empty copy of this communication template.</v>
      </c>
      <c r="F716" s="1202"/>
      <c r="G716" s="1202"/>
      <c r="H716" s="1202"/>
      <c r="I716" s="1202"/>
      <c r="J716" s="1202"/>
      <c r="K716" s="1202"/>
      <c r="L716" s="1202"/>
      <c r="M716" s="1202"/>
      <c r="N716" s="392"/>
      <c r="T716" s="128"/>
    </row>
    <row r="717" spans="3:24" ht="12.75" customHeight="1" x14ac:dyDescent="0.25">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x14ac:dyDescent="0.25">
      <c r="C718" s="193"/>
      <c r="D718" s="198" t="s">
        <v>1238</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x14ac:dyDescent="0.25">
      <c r="C719" s="193"/>
      <c r="D719" s="198" t="s">
        <v>1239</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x14ac:dyDescent="0.25">
      <c r="C720" s="193"/>
      <c r="D720" s="198"/>
      <c r="E720" s="196"/>
      <c r="F720" s="196"/>
      <c r="G720" s="196"/>
      <c r="H720" s="196"/>
      <c r="I720" s="196"/>
      <c r="J720" s="196"/>
      <c r="K720" s="196"/>
      <c r="L720" s="196"/>
      <c r="M720" s="196"/>
      <c r="N720" s="197"/>
      <c r="T720" s="128"/>
      <c r="U720" s="126"/>
      <c r="V720" s="173"/>
    </row>
    <row r="721" spans="2:24" ht="12.75" customHeight="1" x14ac:dyDescent="0.25">
      <c r="C721" s="193"/>
      <c r="D721" s="198" t="s">
        <v>1240</v>
      </c>
      <c r="E721" s="202" t="str">
        <f>Translations!$B$1858</f>
        <v>Justification for use of default values (if relevant):</v>
      </c>
      <c r="F721" s="202"/>
      <c r="G721" s="202"/>
      <c r="H721" s="202"/>
      <c r="I721" s="202"/>
      <c r="J721" s="202"/>
      <c r="K721" s="1203"/>
      <c r="L721" s="1203"/>
      <c r="M721" s="1203"/>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x14ac:dyDescent="0.3">
      <c r="C722" s="208"/>
      <c r="D722" s="209"/>
      <c r="E722" s="210"/>
      <c r="F722" s="211"/>
      <c r="G722" s="211"/>
      <c r="H722" s="211"/>
      <c r="I722" s="211"/>
      <c r="J722" s="211"/>
      <c r="K722" s="211"/>
      <c r="L722" s="211"/>
      <c r="M722" s="211"/>
      <c r="N722" s="212"/>
      <c r="T722" s="128"/>
    </row>
    <row r="723" spans="2:24" ht="12.75" customHeight="1" thickBot="1" x14ac:dyDescent="0.3">
      <c r="T723" s="128"/>
    </row>
    <row r="724" spans="2:24" ht="12.75" customHeight="1" thickBot="1" x14ac:dyDescent="0.3">
      <c r="B724" s="150"/>
      <c r="C724" s="150"/>
      <c r="D724" s="150"/>
      <c r="E724" s="150"/>
      <c r="F724" s="150"/>
      <c r="G724" s="150"/>
      <c r="H724" s="150"/>
      <c r="I724" s="150"/>
      <c r="J724" s="150"/>
      <c r="K724" s="150"/>
      <c r="L724" s="150"/>
      <c r="M724" s="150"/>
      <c r="N724" s="150"/>
      <c r="O724" s="150"/>
      <c r="T724" s="128"/>
    </row>
    <row r="725" spans="2:24" ht="18" customHeight="1" thickBot="1" x14ac:dyDescent="0.3">
      <c r="C725" s="152">
        <f>C683+1</f>
        <v>18</v>
      </c>
      <c r="D725" s="153" t="str">
        <f>CONST_PurchPrecursor &amp; " " &amp; C725 &amp; ":"</f>
        <v>Purchased precursor 18:</v>
      </c>
      <c r="G725" s="1191" t="str">
        <f>IF(INDEX(CNTR_List_ExistPurchPrecNames,MATCH(R725,CNTR_ListPurchPrecID,0))=CONST_NA,"",INDEX(CNTR_List_ExistPurchPrecNames,MATCH(R725,CNTR_ListPurchPrecID,0)))</f>
        <v/>
      </c>
      <c r="H725" s="1192"/>
      <c r="I725" s="1192"/>
      <c r="J725" s="1192"/>
      <c r="K725" s="1193"/>
      <c r="L725" s="1194" t="str">
        <f>IF(INDEX(CNTR_List_ExistPurchPrec,MATCH(R725,CNTR_ListPurchPrecID,0))=CONST_NA,"",INDEX(CNTR_List_ExistPurchPrec,MATCH(R725,CNTR_ListPurchPrecID,0)))</f>
        <v/>
      </c>
      <c r="M725" s="1195"/>
      <c r="N725" s="1196"/>
      <c r="R725" s="154" t="str">
        <f>INDEX(CNTR_ListPurchPrecID,C725)</f>
        <v>PP18</v>
      </c>
      <c r="T725" s="128"/>
      <c r="W725" s="104" t="s">
        <v>1330</v>
      </c>
      <c r="X725" s="155" t="b">
        <f>AND(CNTR_HasEntriesA,G725="")</f>
        <v>0</v>
      </c>
    </row>
    <row r="726" spans="2:24" ht="12.75" customHeight="1" x14ac:dyDescent="0.25">
      <c r="D726" s="103"/>
      <c r="E726" s="98"/>
      <c r="T726" s="128"/>
      <c r="W726" s="104"/>
    </row>
    <row r="727" spans="2:24" ht="12.75" customHeight="1" x14ac:dyDescent="0.25">
      <c r="D727" s="120" t="s">
        <v>1331</v>
      </c>
      <c r="E727" s="98" t="str">
        <f>Translations!$B$276</f>
        <v>Total purchased levels:</v>
      </c>
      <c r="H727" s="156" t="str">
        <f>Translations!$B$244</f>
        <v>Production route</v>
      </c>
      <c r="K727" s="157" t="str">
        <f>Translations!$B$221</f>
        <v>Unit</v>
      </c>
      <c r="L727" s="157" t="str">
        <f>Translations!$B$245</f>
        <v>Amounts</v>
      </c>
      <c r="T727" s="128"/>
    </row>
    <row r="728" spans="2:24" ht="12.75" customHeight="1" x14ac:dyDescent="0.25">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x14ac:dyDescent="0.25">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x14ac:dyDescent="0.25">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x14ac:dyDescent="0.25">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x14ac:dyDescent="0.25">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x14ac:dyDescent="0.25">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x14ac:dyDescent="0.25">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x14ac:dyDescent="0.25">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x14ac:dyDescent="0.25">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x14ac:dyDescent="0.25">
      <c r="D737" s="137"/>
      <c r="E737" s="98"/>
      <c r="T737" s="128"/>
    </row>
    <row r="738" spans="3:24" ht="12.75" customHeight="1" x14ac:dyDescent="0.25">
      <c r="D738" s="120" t="s">
        <v>1253</v>
      </c>
      <c r="E738" s="98" t="str">
        <f>Translations!$B$278</f>
        <v>Consumed in "production processes" within the installation:</v>
      </c>
      <c r="F738" s="98"/>
      <c r="G738" s="98"/>
      <c r="H738" s="98"/>
      <c r="I738" s="98"/>
      <c r="J738" s="98"/>
      <c r="K738" s="120" t="str">
        <f>Translations!$B$221</f>
        <v>Unit</v>
      </c>
      <c r="L738" s="120" t="str">
        <f>Translations!$B$245</f>
        <v>Amounts</v>
      </c>
      <c r="S738" s="126" t="s">
        <v>1332</v>
      </c>
      <c r="T738" s="128"/>
    </row>
    <row r="739" spans="3:24" ht="12.75" customHeight="1" x14ac:dyDescent="0.25">
      <c r="D739" s="174">
        <v>1</v>
      </c>
      <c r="E739" s="175" t="str">
        <f t="shared" ref="E739:E748" si="87">IF(INDEX(CNTR_List_ExistProdProcNames,S739)=CONST_NA,"",INDEX(CNTR_List_ExistProdProcNames,S739))</f>
        <v/>
      </c>
      <c r="F739" s="176"/>
      <c r="G739" s="176"/>
      <c r="H739" s="176"/>
      <c r="I739" s="176"/>
      <c r="J739" s="177"/>
      <c r="K739" s="160" t="str">
        <f>IF(E739="","",K736)</f>
        <v/>
      </c>
      <c r="L739" s="28"/>
      <c r="O739" s="161"/>
      <c r="R739" s="102" t="str">
        <f>CONST_PrecursorToGoodInput&amp;G725 &amp;"_"&amp;E739</f>
        <v>PrecToGood__</v>
      </c>
      <c r="S739" s="105">
        <f>D739</f>
        <v>1</v>
      </c>
      <c r="T739" s="127" t="str">
        <f>IF(G725="","",L739)</f>
        <v/>
      </c>
      <c r="V739" s="162" t="str">
        <f>IF(AND(G725&lt;&gt;"",E739&lt;&gt;"",L739&lt;&gt;""),TRUE,IF(AND(G725&lt;&gt;"",E739&lt;&gt;"",L739="",X739=FALSE),CONST_ErrorOrMissing&amp;C725,CONST_NA))</f>
        <v>n.a.</v>
      </c>
      <c r="W739" s="89" t="s">
        <v>1333</v>
      </c>
      <c r="X739" s="102" t="b">
        <f>IF(G725="",FALSE,E739="")</f>
        <v>0</v>
      </c>
    </row>
    <row r="740" spans="3:24" ht="12.75" customHeight="1" x14ac:dyDescent="0.25">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x14ac:dyDescent="0.25">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x14ac:dyDescent="0.25">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x14ac:dyDescent="0.25">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x14ac:dyDescent="0.25">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x14ac:dyDescent="0.25">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x14ac:dyDescent="0.25">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x14ac:dyDescent="0.25">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x14ac:dyDescent="0.25">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x14ac:dyDescent="0.25">
      <c r="D749" s="120" t="s">
        <v>1254</v>
      </c>
      <c r="E749" s="98" t="str">
        <f>Translations!$B$252</f>
        <v>Consumed for non-CBAM goods within the installation:</v>
      </c>
      <c r="F749" s="98"/>
      <c r="G749" s="98"/>
      <c r="H749" s="98"/>
      <c r="I749" s="98"/>
      <c r="J749" s="98"/>
      <c r="K749" s="171" t="str">
        <f>K736</f>
        <v/>
      </c>
      <c r="L749" s="220"/>
      <c r="T749" s="128"/>
    </row>
    <row r="750" spans="3:24" ht="12.75" customHeight="1" x14ac:dyDescent="0.25">
      <c r="D750" s="120" t="s">
        <v>1334</v>
      </c>
      <c r="E750" s="143" t="str">
        <f>Translations!$B$253</f>
        <v>Control:</v>
      </c>
      <c r="F750" s="172"/>
      <c r="G750" s="172"/>
      <c r="H750" s="172"/>
      <c r="I750" s="172"/>
      <c r="J750" s="172"/>
      <c r="K750" s="171" t="str">
        <f>K749</f>
        <v/>
      </c>
      <c r="L750" s="121" t="str">
        <f>IF(G725="","",SUM(L736)-SUM(L739:L749))</f>
        <v/>
      </c>
      <c r="T750" s="128"/>
    </row>
    <row r="751" spans="3:24" ht="12.75" customHeight="1" thickBot="1" x14ac:dyDescent="0.3">
      <c r="T751" s="128"/>
    </row>
    <row r="752" spans="3:24" ht="12.75" customHeight="1" x14ac:dyDescent="0.25">
      <c r="C752" s="188"/>
      <c r="D752" s="189"/>
      <c r="E752" s="190"/>
      <c r="F752" s="191"/>
      <c r="G752" s="191"/>
      <c r="H752" s="191"/>
      <c r="I752" s="191"/>
      <c r="J752" s="191"/>
      <c r="K752" s="191"/>
      <c r="L752" s="191"/>
      <c r="M752" s="191"/>
      <c r="N752" s="192"/>
      <c r="T752" s="128"/>
    </row>
    <row r="753" spans="2:24" ht="15" customHeight="1" x14ac:dyDescent="0.25">
      <c r="C753" s="193"/>
      <c r="D753" s="194" t="str">
        <f>Translations!$B$279</f>
        <v>Specific embedded emissions:</v>
      </c>
      <c r="E753" s="195"/>
      <c r="F753" s="196"/>
      <c r="G753" s="196"/>
      <c r="H753" s="196"/>
      <c r="I753" s="196"/>
      <c r="J753" s="1201" t="str">
        <f>IF(G725="","",G725)</f>
        <v/>
      </c>
      <c r="K753" s="1201"/>
      <c r="L753" s="1201"/>
      <c r="M753" s="1201"/>
      <c r="N753" s="197"/>
      <c r="T753" s="128"/>
    </row>
    <row r="754" spans="2:24" ht="5.0999999999999996" customHeight="1" x14ac:dyDescent="0.25">
      <c r="C754" s="193"/>
      <c r="D754" s="198"/>
      <c r="E754" s="199"/>
      <c r="F754" s="196"/>
      <c r="G754" s="196"/>
      <c r="H754" s="196"/>
      <c r="I754" s="196"/>
      <c r="J754" s="196"/>
      <c r="K754" s="196"/>
      <c r="L754" s="196"/>
      <c r="M754" s="196"/>
      <c r="N754" s="197"/>
      <c r="T754" s="128"/>
    </row>
    <row r="755" spans="2:24" ht="12.75" customHeight="1" x14ac:dyDescent="0.25">
      <c r="C755" s="193"/>
      <c r="D755" s="200" t="s">
        <v>1335</v>
      </c>
      <c r="E755" s="199" t="str">
        <f>Translations!$B$280</f>
        <v>Emissions embedded in this purchased precursor</v>
      </c>
      <c r="F755" s="199"/>
      <c r="G755" s="199"/>
      <c r="H755" s="199"/>
      <c r="I755" s="199"/>
      <c r="J755" s="199"/>
      <c r="K755" s="199"/>
      <c r="L755" s="199"/>
      <c r="M755" s="199"/>
      <c r="N755" s="197"/>
      <c r="T755" s="128"/>
      <c r="V755" s="173"/>
    </row>
    <row r="756" spans="2:24" ht="12.75" customHeight="1" x14ac:dyDescent="0.25">
      <c r="C756" s="193"/>
      <c r="D756" s="200"/>
      <c r="E756" s="1202" t="str">
        <f>Translations!$B$281</f>
        <v>Please enter here the values and sources for the specific embedded direct and indirect emissions, as obtained from the supplier.</v>
      </c>
      <c r="F756" s="1202"/>
      <c r="G756" s="1202"/>
      <c r="H756" s="1202"/>
      <c r="I756" s="1202"/>
      <c r="J756" s="1202"/>
      <c r="K756" s="1202"/>
      <c r="L756" s="1202"/>
      <c r="M756" s="1202"/>
      <c r="N756" s="392"/>
      <c r="T756" s="128"/>
    </row>
    <row r="757" spans="2:24" ht="12.75" customHeight="1" x14ac:dyDescent="0.25">
      <c r="C757" s="193"/>
      <c r="D757" s="200"/>
      <c r="E757" s="1202" t="str">
        <f>Translations!$B$282</f>
        <v>For the SEE (direct), the 'Type of value' relates to whether the direct emissions are measured, or whether a default value provided by the European Commission was applied.</v>
      </c>
      <c r="F757" s="1202"/>
      <c r="G757" s="1202"/>
      <c r="H757" s="1202"/>
      <c r="I757" s="1202"/>
      <c r="J757" s="1202"/>
      <c r="K757" s="1202"/>
      <c r="L757" s="1202"/>
      <c r="M757" s="1202"/>
      <c r="N757" s="392"/>
      <c r="T757" s="128"/>
    </row>
    <row r="758" spans="2:24" ht="12.75" customHeight="1" x14ac:dyDescent="0.25">
      <c r="C758" s="193"/>
      <c r="D758" s="200"/>
      <c r="E758" s="1202" t="str">
        <f>Translations!$B$283</f>
        <v>In order to obtain these data and information, you may want to ask your supplier to fill in an empty copy of this communication template.</v>
      </c>
      <c r="F758" s="1202"/>
      <c r="G758" s="1202"/>
      <c r="H758" s="1202"/>
      <c r="I758" s="1202"/>
      <c r="J758" s="1202"/>
      <c r="K758" s="1202"/>
      <c r="L758" s="1202"/>
      <c r="M758" s="1202"/>
      <c r="N758" s="392"/>
      <c r="T758" s="128"/>
    </row>
    <row r="759" spans="2:24" ht="12.75" customHeight="1" x14ac:dyDescent="0.25">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x14ac:dyDescent="0.25">
      <c r="C760" s="193"/>
      <c r="D760" s="198" t="s">
        <v>1238</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x14ac:dyDescent="0.25">
      <c r="C761" s="193"/>
      <c r="D761" s="198" t="s">
        <v>1239</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x14ac:dyDescent="0.25">
      <c r="C762" s="193"/>
      <c r="D762" s="198"/>
      <c r="E762" s="196"/>
      <c r="F762" s="196"/>
      <c r="G762" s="196"/>
      <c r="H762" s="196"/>
      <c r="I762" s="196"/>
      <c r="J762" s="196"/>
      <c r="K762" s="196"/>
      <c r="L762" s="196"/>
      <c r="M762" s="196"/>
      <c r="N762" s="197"/>
      <c r="T762" s="128"/>
      <c r="U762" s="126"/>
      <c r="V762" s="173"/>
    </row>
    <row r="763" spans="2:24" ht="12.75" customHeight="1" x14ac:dyDescent="0.25">
      <c r="C763" s="193"/>
      <c r="D763" s="198" t="s">
        <v>1240</v>
      </c>
      <c r="E763" s="202" t="str">
        <f>Translations!$B$1858</f>
        <v>Justification for use of default values (if relevant):</v>
      </c>
      <c r="F763" s="202"/>
      <c r="G763" s="202"/>
      <c r="H763" s="202"/>
      <c r="I763" s="202"/>
      <c r="J763" s="202"/>
      <c r="K763" s="1203"/>
      <c r="L763" s="1203"/>
      <c r="M763" s="1203"/>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x14ac:dyDescent="0.3">
      <c r="C764" s="208"/>
      <c r="D764" s="209"/>
      <c r="E764" s="210"/>
      <c r="F764" s="211"/>
      <c r="G764" s="211"/>
      <c r="H764" s="211"/>
      <c r="I764" s="211"/>
      <c r="J764" s="211"/>
      <c r="K764" s="211"/>
      <c r="L764" s="211"/>
      <c r="M764" s="211"/>
      <c r="N764" s="212"/>
      <c r="T764" s="128"/>
    </row>
    <row r="765" spans="2:24" ht="12.75" customHeight="1" thickBot="1" x14ac:dyDescent="0.3">
      <c r="T765" s="128"/>
    </row>
    <row r="766" spans="2:24" ht="12.75" customHeight="1" thickBot="1" x14ac:dyDescent="0.3">
      <c r="B766" s="150"/>
      <c r="C766" s="150"/>
      <c r="D766" s="150"/>
      <c r="E766" s="150"/>
      <c r="F766" s="150"/>
      <c r="G766" s="150"/>
      <c r="H766" s="150"/>
      <c r="I766" s="150"/>
      <c r="J766" s="150"/>
      <c r="K766" s="150"/>
      <c r="L766" s="150"/>
      <c r="M766" s="150"/>
      <c r="N766" s="150"/>
      <c r="O766" s="150"/>
      <c r="T766" s="128"/>
    </row>
    <row r="767" spans="2:24" ht="18" customHeight="1" thickBot="1" x14ac:dyDescent="0.3">
      <c r="C767" s="152">
        <f>C725+1</f>
        <v>19</v>
      </c>
      <c r="D767" s="153" t="str">
        <f>CONST_PurchPrecursor &amp; " " &amp; C767 &amp; ":"</f>
        <v>Purchased precursor 19:</v>
      </c>
      <c r="G767" s="1191" t="str">
        <f>IF(INDEX(CNTR_List_ExistPurchPrecNames,MATCH(R767,CNTR_ListPurchPrecID,0))=CONST_NA,"",INDEX(CNTR_List_ExistPurchPrecNames,MATCH(R767,CNTR_ListPurchPrecID,0)))</f>
        <v/>
      </c>
      <c r="H767" s="1192"/>
      <c r="I767" s="1192"/>
      <c r="J767" s="1192"/>
      <c r="K767" s="1193"/>
      <c r="L767" s="1194" t="str">
        <f>IF(INDEX(CNTR_List_ExistPurchPrec,MATCH(R767,CNTR_ListPurchPrecID,0))=CONST_NA,"",INDEX(CNTR_List_ExistPurchPrec,MATCH(R767,CNTR_ListPurchPrecID,0)))</f>
        <v/>
      </c>
      <c r="M767" s="1195"/>
      <c r="N767" s="1196"/>
      <c r="R767" s="154" t="str">
        <f>INDEX(CNTR_ListPurchPrecID,C767)</f>
        <v>PP19</v>
      </c>
      <c r="T767" s="128"/>
      <c r="W767" s="104" t="s">
        <v>1330</v>
      </c>
      <c r="X767" s="155" t="b">
        <f>AND(CNTR_HasEntriesA,G767="")</f>
        <v>0</v>
      </c>
    </row>
    <row r="768" spans="2:24" ht="12.75" customHeight="1" x14ac:dyDescent="0.25">
      <c r="D768" s="103"/>
      <c r="E768" s="98"/>
      <c r="T768" s="128"/>
      <c r="W768" s="104"/>
    </row>
    <row r="769" spans="4:24" ht="12.75" customHeight="1" x14ac:dyDescent="0.25">
      <c r="D769" s="120" t="s">
        <v>1331</v>
      </c>
      <c r="E769" s="98" t="str">
        <f>Translations!$B$276</f>
        <v>Total purchased levels:</v>
      </c>
      <c r="H769" s="156" t="str">
        <f>Translations!$B$244</f>
        <v>Production route</v>
      </c>
      <c r="K769" s="157" t="str">
        <f>Translations!$B$221</f>
        <v>Unit</v>
      </c>
      <c r="L769" s="157" t="str">
        <f>Translations!$B$245</f>
        <v>Amounts</v>
      </c>
      <c r="T769" s="128"/>
    </row>
    <row r="770" spans="4:24" ht="12.75" customHeight="1" x14ac:dyDescent="0.25">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x14ac:dyDescent="0.25">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x14ac:dyDescent="0.25">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x14ac:dyDescent="0.25">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x14ac:dyDescent="0.25">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x14ac:dyDescent="0.25">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x14ac:dyDescent="0.25">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x14ac:dyDescent="0.25">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x14ac:dyDescent="0.25">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x14ac:dyDescent="0.25">
      <c r="D779" s="137"/>
      <c r="E779" s="98"/>
      <c r="T779" s="128"/>
    </row>
    <row r="780" spans="4:24" ht="12.75" customHeight="1" x14ac:dyDescent="0.25">
      <c r="D780" s="120" t="s">
        <v>1253</v>
      </c>
      <c r="E780" s="98" t="str">
        <f>Translations!$B$278</f>
        <v>Consumed in "production processes" within the installation:</v>
      </c>
      <c r="F780" s="98"/>
      <c r="G780" s="98"/>
      <c r="H780" s="98"/>
      <c r="I780" s="98"/>
      <c r="J780" s="98"/>
      <c r="K780" s="120" t="str">
        <f>Translations!$B$221</f>
        <v>Unit</v>
      </c>
      <c r="L780" s="120" t="str">
        <f>Translations!$B$245</f>
        <v>Amounts</v>
      </c>
      <c r="S780" s="126" t="s">
        <v>1332</v>
      </c>
      <c r="T780" s="128"/>
    </row>
    <row r="781" spans="4:24" ht="12.75" customHeight="1" x14ac:dyDescent="0.25">
      <c r="D781" s="174">
        <v>1</v>
      </c>
      <c r="E781" s="175" t="str">
        <f t="shared" ref="E781:E790" si="92">IF(INDEX(CNTR_List_ExistProdProcNames,S781)=CONST_NA,"",INDEX(CNTR_List_ExistProdProcNames,S781))</f>
        <v/>
      </c>
      <c r="F781" s="176"/>
      <c r="G781" s="176"/>
      <c r="H781" s="176"/>
      <c r="I781" s="176"/>
      <c r="J781" s="177"/>
      <c r="K781" s="160" t="str">
        <f>IF(E781="","",K778)</f>
        <v/>
      </c>
      <c r="L781" s="28"/>
      <c r="O781" s="161"/>
      <c r="R781" s="102" t="str">
        <f>CONST_PrecursorToGoodInput&amp;G767 &amp;"_"&amp;E781</f>
        <v>PrecToGood__</v>
      </c>
      <c r="S781" s="105">
        <f>D781</f>
        <v>1</v>
      </c>
      <c r="T781" s="127" t="str">
        <f>IF(G767="","",L781)</f>
        <v/>
      </c>
      <c r="V781" s="162" t="str">
        <f>IF(AND(G767&lt;&gt;"",E781&lt;&gt;"",L781&lt;&gt;""),TRUE,IF(AND(G767&lt;&gt;"",E781&lt;&gt;"",L781="",X781=FALSE),CONST_ErrorOrMissing&amp;C767,CONST_NA))</f>
        <v>n.a.</v>
      </c>
      <c r="W781" s="89" t="s">
        <v>1333</v>
      </c>
      <c r="X781" s="102" t="b">
        <f>IF(G767="",FALSE,E781="")</f>
        <v>0</v>
      </c>
    </row>
    <row r="782" spans="4:24" ht="12.75" customHeight="1" x14ac:dyDescent="0.25">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x14ac:dyDescent="0.25">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x14ac:dyDescent="0.25">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x14ac:dyDescent="0.25">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x14ac:dyDescent="0.25">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x14ac:dyDescent="0.25">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x14ac:dyDescent="0.25">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x14ac:dyDescent="0.25">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x14ac:dyDescent="0.25">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x14ac:dyDescent="0.25">
      <c r="D791" s="120" t="s">
        <v>1254</v>
      </c>
      <c r="E791" s="98" t="str">
        <f>Translations!$B$252</f>
        <v>Consumed for non-CBAM goods within the installation:</v>
      </c>
      <c r="F791" s="98"/>
      <c r="G791" s="98"/>
      <c r="H791" s="98"/>
      <c r="I791" s="98"/>
      <c r="J791" s="98"/>
      <c r="K791" s="171" t="str">
        <f>K778</f>
        <v/>
      </c>
      <c r="L791" s="220"/>
      <c r="T791" s="128"/>
    </row>
    <row r="792" spans="3:24" ht="12.75" customHeight="1" x14ac:dyDescent="0.25">
      <c r="D792" s="120" t="s">
        <v>1334</v>
      </c>
      <c r="E792" s="143" t="str">
        <f>Translations!$B$253</f>
        <v>Control:</v>
      </c>
      <c r="F792" s="172"/>
      <c r="G792" s="172"/>
      <c r="H792" s="172"/>
      <c r="I792" s="172"/>
      <c r="J792" s="172"/>
      <c r="K792" s="171" t="str">
        <f>K791</f>
        <v/>
      </c>
      <c r="L792" s="121" t="str">
        <f>IF(G767="","",SUM(L778)-SUM(L781:L791))</f>
        <v/>
      </c>
      <c r="T792" s="128"/>
    </row>
    <row r="793" spans="3:24" ht="12.75" customHeight="1" thickBot="1" x14ac:dyDescent="0.3">
      <c r="T793" s="128"/>
    </row>
    <row r="794" spans="3:24" ht="12.75" customHeight="1" x14ac:dyDescent="0.25">
      <c r="C794" s="188"/>
      <c r="D794" s="189"/>
      <c r="E794" s="190"/>
      <c r="F794" s="191"/>
      <c r="G794" s="191"/>
      <c r="H794" s="191"/>
      <c r="I794" s="191"/>
      <c r="J794" s="191"/>
      <c r="K794" s="191"/>
      <c r="L794" s="191"/>
      <c r="M794" s="191"/>
      <c r="N794" s="192"/>
      <c r="T794" s="128"/>
    </row>
    <row r="795" spans="3:24" ht="15" customHeight="1" x14ac:dyDescent="0.25">
      <c r="C795" s="193"/>
      <c r="D795" s="194" t="str">
        <f>Translations!$B$279</f>
        <v>Specific embedded emissions:</v>
      </c>
      <c r="E795" s="195"/>
      <c r="F795" s="196"/>
      <c r="G795" s="196"/>
      <c r="H795" s="196"/>
      <c r="I795" s="196"/>
      <c r="J795" s="1201" t="str">
        <f>IF(G767="","",G767)</f>
        <v/>
      </c>
      <c r="K795" s="1201"/>
      <c r="L795" s="1201"/>
      <c r="M795" s="1201"/>
      <c r="N795" s="197"/>
      <c r="T795" s="128"/>
    </row>
    <row r="796" spans="3:24" ht="5.0999999999999996" customHeight="1" x14ac:dyDescent="0.25">
      <c r="C796" s="193"/>
      <c r="D796" s="198"/>
      <c r="E796" s="199"/>
      <c r="F796" s="196"/>
      <c r="G796" s="196"/>
      <c r="H796" s="196"/>
      <c r="I796" s="196"/>
      <c r="J796" s="196"/>
      <c r="K796" s="196"/>
      <c r="L796" s="196"/>
      <c r="M796" s="196"/>
      <c r="N796" s="197"/>
      <c r="T796" s="128"/>
    </row>
    <row r="797" spans="3:24" ht="12.75" customHeight="1" x14ac:dyDescent="0.25">
      <c r="C797" s="193"/>
      <c r="D797" s="200" t="s">
        <v>1335</v>
      </c>
      <c r="E797" s="199" t="str">
        <f>Translations!$B$280</f>
        <v>Emissions embedded in this purchased precursor</v>
      </c>
      <c r="F797" s="199"/>
      <c r="G797" s="199"/>
      <c r="H797" s="199"/>
      <c r="I797" s="199"/>
      <c r="J797" s="199"/>
      <c r="K797" s="199"/>
      <c r="L797" s="199"/>
      <c r="M797" s="199"/>
      <c r="N797" s="197"/>
      <c r="T797" s="128"/>
      <c r="V797" s="173"/>
    </row>
    <row r="798" spans="3:24" ht="12.75" customHeight="1" x14ac:dyDescent="0.25">
      <c r="C798" s="193"/>
      <c r="D798" s="200"/>
      <c r="E798" s="1202" t="str">
        <f>Translations!$B$281</f>
        <v>Please enter here the values and sources for the specific embedded direct and indirect emissions, as obtained from the supplier.</v>
      </c>
      <c r="F798" s="1202"/>
      <c r="G798" s="1202"/>
      <c r="H798" s="1202"/>
      <c r="I798" s="1202"/>
      <c r="J798" s="1202"/>
      <c r="K798" s="1202"/>
      <c r="L798" s="1202"/>
      <c r="M798" s="1202"/>
      <c r="N798" s="392"/>
      <c r="T798" s="128"/>
    </row>
    <row r="799" spans="3:24" ht="12.75" customHeight="1" x14ac:dyDescent="0.25">
      <c r="C799" s="193"/>
      <c r="D799" s="200"/>
      <c r="E799" s="1202" t="str">
        <f>Translations!$B$282</f>
        <v>For the SEE (direct), the 'Type of value' relates to whether the direct emissions are measured, or whether a default value provided by the European Commission was applied.</v>
      </c>
      <c r="F799" s="1202"/>
      <c r="G799" s="1202"/>
      <c r="H799" s="1202"/>
      <c r="I799" s="1202"/>
      <c r="J799" s="1202"/>
      <c r="K799" s="1202"/>
      <c r="L799" s="1202"/>
      <c r="M799" s="1202"/>
      <c r="N799" s="392"/>
      <c r="T799" s="128"/>
    </row>
    <row r="800" spans="3:24" ht="12.75" customHeight="1" x14ac:dyDescent="0.25">
      <c r="C800" s="193"/>
      <c r="D800" s="200"/>
      <c r="E800" s="1202" t="str">
        <f>Translations!$B$283</f>
        <v>In order to obtain these data and information, you may want to ask your supplier to fill in an empty copy of this communication template.</v>
      </c>
      <c r="F800" s="1202"/>
      <c r="G800" s="1202"/>
      <c r="H800" s="1202"/>
      <c r="I800" s="1202"/>
      <c r="J800" s="1202"/>
      <c r="K800" s="1202"/>
      <c r="L800" s="1202"/>
      <c r="M800" s="1202"/>
      <c r="N800" s="392"/>
      <c r="T800" s="128"/>
    </row>
    <row r="801" spans="2:24" ht="12.75" customHeight="1" x14ac:dyDescent="0.25">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x14ac:dyDescent="0.25">
      <c r="C802" s="193"/>
      <c r="D802" s="198" t="s">
        <v>1238</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x14ac:dyDescent="0.25">
      <c r="C803" s="193"/>
      <c r="D803" s="198" t="s">
        <v>1239</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x14ac:dyDescent="0.25">
      <c r="C804" s="193"/>
      <c r="D804" s="198"/>
      <c r="E804" s="196"/>
      <c r="F804" s="196"/>
      <c r="G804" s="196"/>
      <c r="H804" s="196"/>
      <c r="I804" s="196"/>
      <c r="J804" s="196"/>
      <c r="K804" s="196"/>
      <c r="L804" s="196"/>
      <c r="M804" s="196"/>
      <c r="N804" s="197"/>
      <c r="T804" s="128"/>
      <c r="U804" s="126"/>
      <c r="V804" s="173"/>
    </row>
    <row r="805" spans="2:24" ht="12.75" customHeight="1" x14ac:dyDescent="0.25">
      <c r="C805" s="193"/>
      <c r="D805" s="198" t="s">
        <v>1240</v>
      </c>
      <c r="E805" s="202" t="str">
        <f>Translations!$B$1858</f>
        <v>Justification for use of default values (if relevant):</v>
      </c>
      <c r="F805" s="202"/>
      <c r="G805" s="202"/>
      <c r="H805" s="202"/>
      <c r="I805" s="202"/>
      <c r="J805" s="202"/>
      <c r="K805" s="1203"/>
      <c r="L805" s="1203"/>
      <c r="M805" s="1203"/>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x14ac:dyDescent="0.3">
      <c r="C806" s="208"/>
      <c r="D806" s="209"/>
      <c r="E806" s="210"/>
      <c r="F806" s="211"/>
      <c r="G806" s="211"/>
      <c r="H806" s="211"/>
      <c r="I806" s="211"/>
      <c r="J806" s="211"/>
      <c r="K806" s="211"/>
      <c r="L806" s="211"/>
      <c r="M806" s="211"/>
      <c r="N806" s="212"/>
      <c r="T806" s="128"/>
    </row>
    <row r="807" spans="2:24" ht="12.75" customHeight="1" thickBot="1" x14ac:dyDescent="0.3">
      <c r="T807" s="128"/>
    </row>
    <row r="808" spans="2:24" ht="12.75" customHeight="1" thickBot="1" x14ac:dyDescent="0.3">
      <c r="B808" s="150"/>
      <c r="C808" s="150"/>
      <c r="D808" s="150"/>
      <c r="E808" s="150"/>
      <c r="F808" s="150"/>
      <c r="G808" s="150"/>
      <c r="H808" s="150"/>
      <c r="I808" s="150"/>
      <c r="J808" s="150"/>
      <c r="K808" s="150"/>
      <c r="L808" s="150"/>
      <c r="M808" s="150"/>
      <c r="N808" s="150"/>
      <c r="O808" s="150"/>
      <c r="T808" s="128"/>
    </row>
    <row r="809" spans="2:24" ht="18" customHeight="1" thickBot="1" x14ac:dyDescent="0.3">
      <c r="C809" s="152">
        <f>C767+1</f>
        <v>20</v>
      </c>
      <c r="D809" s="153" t="str">
        <f>CONST_PurchPrecursor &amp; " " &amp; C809 &amp; ":"</f>
        <v>Purchased precursor 20:</v>
      </c>
      <c r="G809" s="1191" t="str">
        <f>IF(INDEX(CNTR_List_ExistPurchPrecNames,MATCH(R809,CNTR_ListPurchPrecID,0))=CONST_NA,"",INDEX(CNTR_List_ExistPurchPrecNames,MATCH(R809,CNTR_ListPurchPrecID,0)))</f>
        <v/>
      </c>
      <c r="H809" s="1192"/>
      <c r="I809" s="1192"/>
      <c r="J809" s="1192"/>
      <c r="K809" s="1193"/>
      <c r="L809" s="1194" t="str">
        <f>IF(INDEX(CNTR_List_ExistPurchPrec,MATCH(R809,CNTR_ListPurchPrecID,0))=CONST_NA,"",INDEX(CNTR_List_ExistPurchPrec,MATCH(R809,CNTR_ListPurchPrecID,0)))</f>
        <v/>
      </c>
      <c r="M809" s="1195"/>
      <c r="N809" s="1196"/>
      <c r="R809" s="154" t="str">
        <f>INDEX(CNTR_ListPurchPrecID,C809)</f>
        <v>PP20</v>
      </c>
      <c r="T809" s="128"/>
      <c r="W809" s="104" t="s">
        <v>1330</v>
      </c>
      <c r="X809" s="155" t="b">
        <f>AND(CNTR_HasEntriesA,G809="")</f>
        <v>0</v>
      </c>
    </row>
    <row r="810" spans="2:24" ht="12.75" customHeight="1" x14ac:dyDescent="0.25">
      <c r="D810" s="103"/>
      <c r="E810" s="98"/>
      <c r="T810" s="128"/>
      <c r="W810" s="104"/>
    </row>
    <row r="811" spans="2:24" ht="12.75" customHeight="1" x14ac:dyDescent="0.25">
      <c r="D811" s="120" t="s">
        <v>1331</v>
      </c>
      <c r="E811" s="98" t="str">
        <f>Translations!$B$276</f>
        <v>Total purchased levels:</v>
      </c>
      <c r="H811" s="156" t="str">
        <f>Translations!$B$244</f>
        <v>Production route</v>
      </c>
      <c r="K811" s="157" t="str">
        <f>Translations!$B$221</f>
        <v>Unit</v>
      </c>
      <c r="L811" s="157" t="str">
        <f>Translations!$B$245</f>
        <v>Amounts</v>
      </c>
      <c r="T811" s="128"/>
    </row>
    <row r="812" spans="2:24" ht="12.75" customHeight="1" x14ac:dyDescent="0.25">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x14ac:dyDescent="0.25">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x14ac:dyDescent="0.25">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x14ac:dyDescent="0.25">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x14ac:dyDescent="0.25">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x14ac:dyDescent="0.25">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x14ac:dyDescent="0.25">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x14ac:dyDescent="0.25">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x14ac:dyDescent="0.25">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x14ac:dyDescent="0.25">
      <c r="D821" s="137"/>
      <c r="E821" s="98"/>
      <c r="T821" s="128"/>
    </row>
    <row r="822" spans="4:24" ht="12.75" customHeight="1" x14ac:dyDescent="0.25">
      <c r="D822" s="120" t="s">
        <v>1253</v>
      </c>
      <c r="E822" s="98" t="str">
        <f>Translations!$B$278</f>
        <v>Consumed in "production processes" within the installation:</v>
      </c>
      <c r="F822" s="98"/>
      <c r="G822" s="98"/>
      <c r="H822" s="98"/>
      <c r="I822" s="98"/>
      <c r="J822" s="98"/>
      <c r="K822" s="120" t="str">
        <f>Translations!$B$221</f>
        <v>Unit</v>
      </c>
      <c r="L822" s="120" t="str">
        <f>Translations!$B$245</f>
        <v>Amounts</v>
      </c>
      <c r="S822" s="126" t="s">
        <v>1332</v>
      </c>
      <c r="T822" s="128"/>
    </row>
    <row r="823" spans="4:24" ht="12.75" customHeight="1" x14ac:dyDescent="0.25">
      <c r="D823" s="174">
        <v>1</v>
      </c>
      <c r="E823" s="175" t="str">
        <f t="shared" ref="E823:E832" si="97">IF(INDEX(CNTR_List_ExistProdProcNames,S823)=CONST_NA,"",INDEX(CNTR_List_ExistProdProcNames,S823))</f>
        <v/>
      </c>
      <c r="F823" s="176"/>
      <c r="G823" s="176"/>
      <c r="H823" s="176"/>
      <c r="I823" s="176"/>
      <c r="J823" s="177"/>
      <c r="K823" s="160" t="str">
        <f>IF(E823="","",K820)</f>
        <v/>
      </c>
      <c r="L823" s="28"/>
      <c r="O823" s="161"/>
      <c r="R823" s="102" t="str">
        <f>CONST_PrecursorToGoodInput&amp;G809 &amp;"_"&amp;E823</f>
        <v>PrecToGood__</v>
      </c>
      <c r="S823" s="105">
        <f>D823</f>
        <v>1</v>
      </c>
      <c r="T823" s="127" t="str">
        <f>IF(G809="","",L823)</f>
        <v/>
      </c>
      <c r="V823" s="162" t="str">
        <f>IF(AND(G809&lt;&gt;"",E823&lt;&gt;"",L823&lt;&gt;""),TRUE,IF(AND(G809&lt;&gt;"",E823&lt;&gt;"",L823="",X823=FALSE),CONST_ErrorOrMissing&amp;C809,CONST_NA))</f>
        <v>n.a.</v>
      </c>
      <c r="W823" s="89" t="s">
        <v>1333</v>
      </c>
      <c r="X823" s="102" t="b">
        <f>IF(G809="",FALSE,E823="")</f>
        <v>0</v>
      </c>
    </row>
    <row r="824" spans="4:24" ht="12.75" customHeight="1" x14ac:dyDescent="0.25">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x14ac:dyDescent="0.25">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x14ac:dyDescent="0.25">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x14ac:dyDescent="0.25">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x14ac:dyDescent="0.25">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x14ac:dyDescent="0.25">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x14ac:dyDescent="0.25">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x14ac:dyDescent="0.25">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x14ac:dyDescent="0.25">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x14ac:dyDescent="0.25">
      <c r="D833" s="120" t="s">
        <v>1254</v>
      </c>
      <c r="E833" s="98" t="str">
        <f>Translations!$B$252</f>
        <v>Consumed for non-CBAM goods within the installation:</v>
      </c>
      <c r="F833" s="98"/>
      <c r="G833" s="98"/>
      <c r="H833" s="98"/>
      <c r="I833" s="98"/>
      <c r="J833" s="98"/>
      <c r="K833" s="171" t="str">
        <f>K820</f>
        <v/>
      </c>
      <c r="L833" s="220"/>
      <c r="T833" s="128"/>
    </row>
    <row r="834" spans="3:24" ht="12.75" customHeight="1" x14ac:dyDescent="0.25">
      <c r="D834" s="120" t="s">
        <v>1334</v>
      </c>
      <c r="E834" s="143" t="str">
        <f>Translations!$B$253</f>
        <v>Control:</v>
      </c>
      <c r="F834" s="172"/>
      <c r="G834" s="172"/>
      <c r="H834" s="172"/>
      <c r="I834" s="172"/>
      <c r="J834" s="172"/>
      <c r="K834" s="171" t="str">
        <f>K833</f>
        <v/>
      </c>
      <c r="L834" s="121" t="str">
        <f>IF(G809="","",SUM(L820)-SUM(L823:L833))</f>
        <v/>
      </c>
      <c r="T834" s="128"/>
    </row>
    <row r="835" spans="3:24" ht="12.75" customHeight="1" thickBot="1" x14ac:dyDescent="0.3">
      <c r="T835" s="128"/>
    </row>
    <row r="836" spans="3:24" ht="12.75" customHeight="1" x14ac:dyDescent="0.25">
      <c r="C836" s="188"/>
      <c r="D836" s="189"/>
      <c r="E836" s="190"/>
      <c r="F836" s="191"/>
      <c r="G836" s="191"/>
      <c r="H836" s="191"/>
      <c r="I836" s="191"/>
      <c r="J836" s="191"/>
      <c r="K836" s="191"/>
      <c r="L836" s="191"/>
      <c r="M836" s="191"/>
      <c r="N836" s="192"/>
      <c r="T836" s="128"/>
    </row>
    <row r="837" spans="3:24" ht="15" customHeight="1" x14ac:dyDescent="0.25">
      <c r="C837" s="193"/>
      <c r="D837" s="194" t="str">
        <f>Translations!$B$279</f>
        <v>Specific embedded emissions:</v>
      </c>
      <c r="E837" s="195"/>
      <c r="F837" s="196"/>
      <c r="G837" s="196"/>
      <c r="H837" s="196"/>
      <c r="I837" s="196"/>
      <c r="J837" s="1201" t="str">
        <f>IF(G809="","",G809)</f>
        <v/>
      </c>
      <c r="K837" s="1201"/>
      <c r="L837" s="1201"/>
      <c r="M837" s="1201"/>
      <c r="N837" s="197"/>
      <c r="T837" s="128"/>
    </row>
    <row r="838" spans="3:24" ht="5.0999999999999996" customHeight="1" x14ac:dyDescent="0.25">
      <c r="C838" s="193"/>
      <c r="D838" s="198"/>
      <c r="E838" s="199"/>
      <c r="F838" s="196"/>
      <c r="G838" s="196"/>
      <c r="H838" s="196"/>
      <c r="I838" s="196"/>
      <c r="J838" s="196"/>
      <c r="K838" s="196"/>
      <c r="L838" s="196"/>
      <c r="M838" s="196"/>
      <c r="N838" s="197"/>
      <c r="T838" s="128"/>
    </row>
    <row r="839" spans="3:24" ht="12.75" customHeight="1" x14ac:dyDescent="0.25">
      <c r="C839" s="193"/>
      <c r="D839" s="200" t="s">
        <v>1335</v>
      </c>
      <c r="E839" s="199" t="str">
        <f>Translations!$B$280</f>
        <v>Emissions embedded in this purchased precursor</v>
      </c>
      <c r="F839" s="199"/>
      <c r="G839" s="199"/>
      <c r="H839" s="199"/>
      <c r="I839" s="199"/>
      <c r="J839" s="199"/>
      <c r="K839" s="199"/>
      <c r="L839" s="199"/>
      <c r="M839" s="199"/>
      <c r="N839" s="197"/>
      <c r="T839" s="128"/>
      <c r="V839" s="173"/>
    </row>
    <row r="840" spans="3:24" ht="12.75" customHeight="1" x14ac:dyDescent="0.25">
      <c r="C840" s="193"/>
      <c r="D840" s="200"/>
      <c r="E840" s="1202" t="str">
        <f>Translations!$B$281</f>
        <v>Please enter here the values and sources for the specific embedded direct and indirect emissions, as obtained from the supplier.</v>
      </c>
      <c r="F840" s="1202"/>
      <c r="G840" s="1202"/>
      <c r="H840" s="1202"/>
      <c r="I840" s="1202"/>
      <c r="J840" s="1202"/>
      <c r="K840" s="1202"/>
      <c r="L840" s="1202"/>
      <c r="M840" s="1202"/>
      <c r="N840" s="392"/>
      <c r="T840" s="128"/>
    </row>
    <row r="841" spans="3:24" ht="12.75" customHeight="1" x14ac:dyDescent="0.25">
      <c r="C841" s="193"/>
      <c r="D841" s="200"/>
      <c r="E841" s="1202" t="str">
        <f>Translations!$B$282</f>
        <v>For the SEE (direct), the 'Type of value' relates to whether the direct emissions are measured, or whether a default value provided by the European Commission was applied.</v>
      </c>
      <c r="F841" s="1202"/>
      <c r="G841" s="1202"/>
      <c r="H841" s="1202"/>
      <c r="I841" s="1202"/>
      <c r="J841" s="1202"/>
      <c r="K841" s="1202"/>
      <c r="L841" s="1202"/>
      <c r="M841" s="1202"/>
      <c r="N841" s="392"/>
      <c r="T841" s="128"/>
    </row>
    <row r="842" spans="3:24" ht="12.75" customHeight="1" x14ac:dyDescent="0.25">
      <c r="C842" s="193"/>
      <c r="D842" s="200"/>
      <c r="E842" s="1202" t="str">
        <f>Translations!$B$283</f>
        <v>In order to obtain these data and information, you may want to ask your supplier to fill in an empty copy of this communication template.</v>
      </c>
      <c r="F842" s="1202"/>
      <c r="G842" s="1202"/>
      <c r="H842" s="1202"/>
      <c r="I842" s="1202"/>
      <c r="J842" s="1202"/>
      <c r="K842" s="1202"/>
      <c r="L842" s="1202"/>
      <c r="M842" s="1202"/>
      <c r="N842" s="392"/>
      <c r="T842" s="128"/>
    </row>
    <row r="843" spans="3:24" ht="12.75" customHeight="1" x14ac:dyDescent="0.25">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x14ac:dyDescent="0.25">
      <c r="C844" s="193"/>
      <c r="D844" s="198" t="s">
        <v>1238</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x14ac:dyDescent="0.25">
      <c r="C845" s="193"/>
      <c r="D845" s="198" t="s">
        <v>1239</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x14ac:dyDescent="0.25">
      <c r="C846" s="193"/>
      <c r="D846" s="198"/>
      <c r="E846" s="196"/>
      <c r="F846" s="196"/>
      <c r="G846" s="196"/>
      <c r="H846" s="196"/>
      <c r="I846" s="196"/>
      <c r="J846" s="196"/>
      <c r="K846" s="196"/>
      <c r="L846" s="196"/>
      <c r="M846" s="196"/>
      <c r="N846" s="197"/>
      <c r="U846" s="126"/>
      <c r="V846" s="173"/>
    </row>
    <row r="847" spans="3:24" ht="12.75" customHeight="1" x14ac:dyDescent="0.25">
      <c r="C847" s="193"/>
      <c r="D847" s="198" t="s">
        <v>1240</v>
      </c>
      <c r="E847" s="202" t="str">
        <f>Translations!$B$1858</f>
        <v>Justification for use of default values (if relevant):</v>
      </c>
      <c r="F847" s="202"/>
      <c r="G847" s="202"/>
      <c r="H847" s="202"/>
      <c r="I847" s="202"/>
      <c r="J847" s="202"/>
      <c r="K847" s="1203"/>
      <c r="L847" s="1203"/>
      <c r="M847" s="1203"/>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x14ac:dyDescent="0.3">
      <c r="C848" s="208"/>
      <c r="D848" s="209"/>
      <c r="E848" s="210"/>
      <c r="F848" s="211"/>
      <c r="G848" s="211"/>
      <c r="H848" s="211"/>
      <c r="I848" s="211"/>
      <c r="J848" s="211"/>
      <c r="K848" s="211"/>
      <c r="L848" s="211"/>
      <c r="M848" s="211"/>
      <c r="N848" s="212"/>
    </row>
    <row r="849" spans="1:16" ht="12.75" customHeight="1" thickBot="1" x14ac:dyDescent="0.3"/>
    <row r="850" spans="1:16" ht="12.75" customHeight="1" x14ac:dyDescent="0.25">
      <c r="B850" s="150"/>
      <c r="C850" s="150"/>
      <c r="D850" s="150"/>
      <c r="E850" s="150"/>
      <c r="F850" s="150"/>
      <c r="G850" s="150"/>
      <c r="H850" s="150"/>
      <c r="I850" s="150"/>
      <c r="J850" s="150"/>
      <c r="K850" s="150"/>
      <c r="L850" s="150"/>
      <c r="M850" s="150"/>
      <c r="N850" s="150"/>
      <c r="O850" s="150"/>
    </row>
    <row r="851" spans="1:16" s="89" customFormat="1" ht="12.75" hidden="1" customHeight="1" x14ac:dyDescent="0.25">
      <c r="A851" s="89" t="s">
        <v>0</v>
      </c>
      <c r="P851" s="90" t="s">
        <v>7</v>
      </c>
    </row>
    <row r="852" spans="1:16" s="89" customFormat="1" ht="12.75" hidden="1" customHeight="1" x14ac:dyDescent="0.25">
      <c r="A852" s="89" t="s">
        <v>0</v>
      </c>
      <c r="P852" s="90"/>
    </row>
    <row r="853" spans="1:16" s="89" customFormat="1" ht="12.75" hidden="1" customHeight="1" x14ac:dyDescent="0.25">
      <c r="A853" s="89" t="s">
        <v>0</v>
      </c>
      <c r="P853" s="90"/>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phoneticPr fontId="68" type="noConversion"/>
  <conditionalFormatting sqref="D24:M34 E35:M35 M34:M36">
    <cfRule type="expression" dxfId="213" priority="427">
      <formula>$X24</formula>
    </cfRule>
  </conditionalFormatting>
  <conditionalFormatting sqref="O46:O47 O49">
    <cfRule type="expression" dxfId="212" priority="425">
      <formula>$V46=TRUE</formula>
    </cfRule>
    <cfRule type="expression" dxfId="211" priority="426">
      <formula>$V46=CONST_NA</formula>
    </cfRule>
  </conditionalFormatting>
  <conditionalFormatting sqref="O25:O34">
    <cfRule type="expression" dxfId="210" priority="403">
      <formula>$V25=TRUE</formula>
    </cfRule>
    <cfRule type="expression" dxfId="209" priority="404">
      <formula>$V25=CONST_NA</formula>
    </cfRule>
  </conditionalFormatting>
  <conditionalFormatting sqref="D15:M21">
    <cfRule type="expression" dxfId="208" priority="429">
      <formula>$H15=CONST_NA</formula>
    </cfRule>
  </conditionalFormatting>
  <conditionalFormatting sqref="L46:M47 K49">
    <cfRule type="expression" dxfId="207" priority="348">
      <formula>$X46</formula>
    </cfRule>
  </conditionalFormatting>
  <conditionalFormatting sqref="C11:N50 C53:N92 C95:N134 C137:N176 C179:N218 C221:N260 C263:N302 C305:N344 C347:N386 C389:N428 C431:N470 C473:N512 C515:N554 C557:N596 C599:N638 C641:N680 C683:N722">
    <cfRule type="expression" dxfId="206" priority="347">
      <formula>INDEX($X:$X,MATCH(MAX(INDIRECT(ADDRESS(1,3)&amp;":"&amp;ADDRESS(ROW(C11),3))),$C:$C,0))</formula>
    </cfRule>
  </conditionalFormatting>
  <conditionalFormatting sqref="G3:N5">
    <cfRule type="expression" dxfId="205" priority="346">
      <formula>COUNTIF($V:$V,CONST_ErrorOrMissing&amp;R3)&gt;0</formula>
    </cfRule>
  </conditionalFormatting>
  <conditionalFormatting sqref="D14:D21">
    <cfRule type="expression" dxfId="204" priority="190">
      <formula>$X14</formula>
    </cfRule>
  </conditionalFormatting>
  <conditionalFormatting sqref="D66:M76 E77:M77 M78">
    <cfRule type="expression" dxfId="203" priority="168">
      <formula>$X66</formula>
    </cfRule>
  </conditionalFormatting>
  <conditionalFormatting sqref="O88:O89 O91">
    <cfRule type="expression" dxfId="202" priority="166">
      <formula>$V88=TRUE</formula>
    </cfRule>
    <cfRule type="expression" dxfId="201" priority="167">
      <formula>$V88=CONST_NA</formula>
    </cfRule>
  </conditionalFormatting>
  <conditionalFormatting sqref="O67:O76">
    <cfRule type="expression" dxfId="200" priority="164">
      <formula>$V67=TRUE</formula>
    </cfRule>
    <cfRule type="expression" dxfId="199" priority="165">
      <formula>$V67=CONST_NA</formula>
    </cfRule>
  </conditionalFormatting>
  <conditionalFormatting sqref="D57:M63">
    <cfRule type="expression" dxfId="198" priority="169">
      <formula>$H57=CONST_NA</formula>
    </cfRule>
  </conditionalFormatting>
  <conditionalFormatting sqref="L88:M89 K91">
    <cfRule type="expression" dxfId="197" priority="163">
      <formula>$X88</formula>
    </cfRule>
  </conditionalFormatting>
  <conditionalFormatting sqref="D56:D63">
    <cfRule type="expression" dxfId="196" priority="161">
      <formula>$X56</formula>
    </cfRule>
  </conditionalFormatting>
  <conditionalFormatting sqref="D108:M118 E119:M119 M120">
    <cfRule type="expression" dxfId="195" priority="157">
      <formula>$X108</formula>
    </cfRule>
  </conditionalFormatting>
  <conditionalFormatting sqref="O130:O131 O133">
    <cfRule type="expression" dxfId="194" priority="155">
      <formula>$V130=TRUE</formula>
    </cfRule>
    <cfRule type="expression" dxfId="193" priority="156">
      <formula>$V130=CONST_NA</formula>
    </cfRule>
  </conditionalFormatting>
  <conditionalFormatting sqref="O109:O118">
    <cfRule type="expression" dxfId="192" priority="153">
      <formula>$V109=TRUE</formula>
    </cfRule>
    <cfRule type="expression" dxfId="191" priority="154">
      <formula>$V109=CONST_NA</formula>
    </cfRule>
  </conditionalFormatting>
  <conditionalFormatting sqref="D99:M105">
    <cfRule type="expression" dxfId="190" priority="158">
      <formula>$H99=CONST_NA</formula>
    </cfRule>
  </conditionalFormatting>
  <conditionalFormatting sqref="L130:M131 K133">
    <cfRule type="expression" dxfId="189" priority="152">
      <formula>$X130</formula>
    </cfRule>
  </conditionalFormatting>
  <conditionalFormatting sqref="D98:D105">
    <cfRule type="expression" dxfId="188" priority="151">
      <formula>$X98</formula>
    </cfRule>
  </conditionalFormatting>
  <conditionalFormatting sqref="D150:M160 E161:M161 M162">
    <cfRule type="expression" dxfId="187" priority="147">
      <formula>$X150</formula>
    </cfRule>
  </conditionalFormatting>
  <conditionalFormatting sqref="O172:O173 O175">
    <cfRule type="expression" dxfId="186" priority="145">
      <formula>$V172=TRUE</formula>
    </cfRule>
    <cfRule type="expression" dxfId="185" priority="146">
      <formula>$V172=CONST_NA</formula>
    </cfRule>
  </conditionalFormatting>
  <conditionalFormatting sqref="O151:O160">
    <cfRule type="expression" dxfId="184" priority="143">
      <formula>$V151=TRUE</formula>
    </cfRule>
    <cfRule type="expression" dxfId="183" priority="144">
      <formula>$V151=CONST_NA</formula>
    </cfRule>
  </conditionalFormatting>
  <conditionalFormatting sqref="D141:M147">
    <cfRule type="expression" dxfId="182" priority="148">
      <formula>$H141=CONST_NA</formula>
    </cfRule>
  </conditionalFormatting>
  <conditionalFormatting sqref="L172:M173 K175">
    <cfRule type="expression" dxfId="181" priority="142">
      <formula>$X172</formula>
    </cfRule>
  </conditionalFormatting>
  <conditionalFormatting sqref="D140:D147">
    <cfRule type="expression" dxfId="180" priority="141">
      <formula>$X140</formula>
    </cfRule>
  </conditionalFormatting>
  <conditionalFormatting sqref="D192:M202 E203:M203 M204">
    <cfRule type="expression" dxfId="179" priority="137">
      <formula>$X192</formula>
    </cfRule>
  </conditionalFormatting>
  <conditionalFormatting sqref="O214:O215 O217">
    <cfRule type="expression" dxfId="178" priority="135">
      <formula>$V214=TRUE</formula>
    </cfRule>
    <cfRule type="expression" dxfId="177" priority="136">
      <formula>$V214=CONST_NA</formula>
    </cfRule>
  </conditionalFormatting>
  <conditionalFormatting sqref="O193:O202">
    <cfRule type="expression" dxfId="176" priority="133">
      <formula>$V193=TRUE</formula>
    </cfRule>
    <cfRule type="expression" dxfId="175" priority="134">
      <formula>$V193=CONST_NA</formula>
    </cfRule>
  </conditionalFormatting>
  <conditionalFormatting sqref="D183:M189">
    <cfRule type="expression" dxfId="174" priority="138">
      <formula>$H183=CONST_NA</formula>
    </cfRule>
  </conditionalFormatting>
  <conditionalFormatting sqref="L214:M215 K217">
    <cfRule type="expression" dxfId="173" priority="132">
      <formula>$X214</formula>
    </cfRule>
  </conditionalFormatting>
  <conditionalFormatting sqref="D182:D189">
    <cfRule type="expression" dxfId="172" priority="131">
      <formula>$X182</formula>
    </cfRule>
  </conditionalFormatting>
  <conditionalFormatting sqref="D234:M244 E245:M245 M246">
    <cfRule type="expression" dxfId="171" priority="127">
      <formula>$X234</formula>
    </cfRule>
  </conditionalFormatting>
  <conditionalFormatting sqref="O256:O257 O259">
    <cfRule type="expression" dxfId="170" priority="125">
      <formula>$V256=TRUE</formula>
    </cfRule>
    <cfRule type="expression" dxfId="169" priority="126">
      <formula>$V256=CONST_NA</formula>
    </cfRule>
  </conditionalFormatting>
  <conditionalFormatting sqref="O235:O244">
    <cfRule type="expression" dxfId="168" priority="123">
      <formula>$V235=TRUE</formula>
    </cfRule>
    <cfRule type="expression" dxfId="167" priority="124">
      <formula>$V235=CONST_NA</formula>
    </cfRule>
  </conditionalFormatting>
  <conditionalFormatting sqref="D225:M231">
    <cfRule type="expression" dxfId="166" priority="128">
      <formula>$H225=CONST_NA</formula>
    </cfRule>
  </conditionalFormatting>
  <conditionalFormatting sqref="L256:M257 K259">
    <cfRule type="expression" dxfId="165" priority="122">
      <formula>$X256</formula>
    </cfRule>
  </conditionalFormatting>
  <conditionalFormatting sqref="D224:D231">
    <cfRule type="expression" dxfId="164" priority="121">
      <formula>$X224</formula>
    </cfRule>
  </conditionalFormatting>
  <conditionalFormatting sqref="D276:M286 E287:M287 M288">
    <cfRule type="expression" dxfId="163" priority="119">
      <formula>$X276</formula>
    </cfRule>
  </conditionalFormatting>
  <conditionalFormatting sqref="O298:O299 O301">
    <cfRule type="expression" dxfId="162" priority="117">
      <formula>$V298=TRUE</formula>
    </cfRule>
    <cfRule type="expression" dxfId="161" priority="118">
      <formula>$V298=CONST_NA</formula>
    </cfRule>
  </conditionalFormatting>
  <conditionalFormatting sqref="O277:O286">
    <cfRule type="expression" dxfId="160" priority="115">
      <formula>$V277=TRUE</formula>
    </cfRule>
    <cfRule type="expression" dxfId="159" priority="116">
      <formula>$V277=CONST_NA</formula>
    </cfRule>
  </conditionalFormatting>
  <conditionalFormatting sqref="D267:M273">
    <cfRule type="expression" dxfId="158" priority="120">
      <formula>$H267=CONST_NA</formula>
    </cfRule>
  </conditionalFormatting>
  <conditionalFormatting sqref="L298:M299 K301">
    <cfRule type="expression" dxfId="157" priority="114">
      <formula>$X298</formula>
    </cfRule>
  </conditionalFormatting>
  <conditionalFormatting sqref="D266:D273">
    <cfRule type="expression" dxfId="156" priority="113">
      <formula>$X266</formula>
    </cfRule>
  </conditionalFormatting>
  <conditionalFormatting sqref="D318:M328 E329:M329 M330">
    <cfRule type="expression" dxfId="155" priority="111">
      <formula>$X318</formula>
    </cfRule>
  </conditionalFormatting>
  <conditionalFormatting sqref="O340:O341 O343">
    <cfRule type="expression" dxfId="154" priority="109">
      <formula>$V340=TRUE</formula>
    </cfRule>
    <cfRule type="expression" dxfId="153" priority="110">
      <formula>$V340=CONST_NA</formula>
    </cfRule>
  </conditionalFormatting>
  <conditionalFormatting sqref="O319:O328">
    <cfRule type="expression" dxfId="152" priority="107">
      <formula>$V319=TRUE</formula>
    </cfRule>
    <cfRule type="expression" dxfId="151" priority="108">
      <formula>$V319=CONST_NA</formula>
    </cfRule>
  </conditionalFormatting>
  <conditionalFormatting sqref="D309:M315">
    <cfRule type="expression" dxfId="150" priority="112">
      <formula>$H309=CONST_NA</formula>
    </cfRule>
  </conditionalFormatting>
  <conditionalFormatting sqref="L340:M341 K343">
    <cfRule type="expression" dxfId="149" priority="106">
      <formula>$X340</formula>
    </cfRule>
  </conditionalFormatting>
  <conditionalFormatting sqref="D308:D315">
    <cfRule type="expression" dxfId="148" priority="105">
      <formula>$X308</formula>
    </cfRule>
  </conditionalFormatting>
  <conditionalFormatting sqref="D360:M370 E371:M371 M372">
    <cfRule type="expression" dxfId="147" priority="101">
      <formula>$X360</formula>
    </cfRule>
  </conditionalFormatting>
  <conditionalFormatting sqref="O382:O383 O385">
    <cfRule type="expression" dxfId="146" priority="99">
      <formula>$V382=TRUE</formula>
    </cfRule>
    <cfRule type="expression" dxfId="145" priority="100">
      <formula>$V382=CONST_NA</formula>
    </cfRule>
  </conditionalFormatting>
  <conditionalFormatting sqref="O361:O370">
    <cfRule type="expression" dxfId="144" priority="97">
      <formula>$V361=TRUE</formula>
    </cfRule>
    <cfRule type="expression" dxfId="143" priority="98">
      <formula>$V361=CONST_NA</formula>
    </cfRule>
  </conditionalFormatting>
  <conditionalFormatting sqref="D351:M357">
    <cfRule type="expression" dxfId="142" priority="102">
      <formula>$H351=CONST_NA</formula>
    </cfRule>
  </conditionalFormatting>
  <conditionalFormatting sqref="L382:M383 K385">
    <cfRule type="expression" dxfId="141" priority="96">
      <formula>$X382</formula>
    </cfRule>
  </conditionalFormatting>
  <conditionalFormatting sqref="D350:D357">
    <cfRule type="expression" dxfId="140" priority="95">
      <formula>$X350</formula>
    </cfRule>
  </conditionalFormatting>
  <conditionalFormatting sqref="D402:M412 E413:M413 M414">
    <cfRule type="expression" dxfId="139" priority="93">
      <formula>$X402</formula>
    </cfRule>
  </conditionalFormatting>
  <conditionalFormatting sqref="O424:O425 O427">
    <cfRule type="expression" dxfId="138" priority="91">
      <formula>$V424=TRUE</formula>
    </cfRule>
    <cfRule type="expression" dxfId="137" priority="92">
      <formula>$V424=CONST_NA</formula>
    </cfRule>
  </conditionalFormatting>
  <conditionalFormatting sqref="O403:O412">
    <cfRule type="expression" dxfId="136" priority="89">
      <formula>$V403=TRUE</formula>
    </cfRule>
    <cfRule type="expression" dxfId="135" priority="90">
      <formula>$V403=CONST_NA</formula>
    </cfRule>
  </conditionalFormatting>
  <conditionalFormatting sqref="D393:M399">
    <cfRule type="expression" dxfId="134" priority="94">
      <formula>$H393=CONST_NA</formula>
    </cfRule>
  </conditionalFormatting>
  <conditionalFormatting sqref="L424:M425 K427">
    <cfRule type="expression" dxfId="133" priority="88">
      <formula>$X424</formula>
    </cfRule>
  </conditionalFormatting>
  <conditionalFormatting sqref="D392:D399">
    <cfRule type="expression" dxfId="132" priority="87">
      <formula>$X392</formula>
    </cfRule>
  </conditionalFormatting>
  <conditionalFormatting sqref="D444:M454 E455:M455 M456">
    <cfRule type="expression" dxfId="131" priority="85">
      <formula>$X444</formula>
    </cfRule>
  </conditionalFormatting>
  <conditionalFormatting sqref="O466:O467 O469">
    <cfRule type="expression" dxfId="130" priority="83">
      <formula>$V466=TRUE</formula>
    </cfRule>
    <cfRule type="expression" dxfId="129" priority="84">
      <formula>$V466=CONST_NA</formula>
    </cfRule>
  </conditionalFormatting>
  <conditionalFormatting sqref="O445:O454">
    <cfRule type="expression" dxfId="128" priority="81">
      <formula>$V445=TRUE</formula>
    </cfRule>
    <cfRule type="expression" dxfId="127" priority="82">
      <formula>$V445=CONST_NA</formula>
    </cfRule>
  </conditionalFormatting>
  <conditionalFormatting sqref="D435:M441">
    <cfRule type="expression" dxfId="126" priority="86">
      <formula>$H435=CONST_NA</formula>
    </cfRule>
  </conditionalFormatting>
  <conditionalFormatting sqref="L466:M467 K469">
    <cfRule type="expression" dxfId="125" priority="80">
      <formula>$X466</formula>
    </cfRule>
  </conditionalFormatting>
  <conditionalFormatting sqref="D434:D441">
    <cfRule type="expression" dxfId="124" priority="79">
      <formula>$X434</formula>
    </cfRule>
  </conditionalFormatting>
  <conditionalFormatting sqref="D486:M496 E497:M497 M498">
    <cfRule type="expression" dxfId="123" priority="75">
      <formula>$X486</formula>
    </cfRule>
  </conditionalFormatting>
  <conditionalFormatting sqref="O508:O509 O511">
    <cfRule type="expression" dxfId="122" priority="73">
      <formula>$V508=TRUE</formula>
    </cfRule>
    <cfRule type="expression" dxfId="121" priority="74">
      <formula>$V508=CONST_NA</formula>
    </cfRule>
  </conditionalFormatting>
  <conditionalFormatting sqref="O487:O496">
    <cfRule type="expression" dxfId="120" priority="71">
      <formula>$V487=TRUE</formula>
    </cfRule>
    <cfRule type="expression" dxfId="119" priority="72">
      <formula>$V487=CONST_NA</formula>
    </cfRule>
  </conditionalFormatting>
  <conditionalFormatting sqref="D477:M483">
    <cfRule type="expression" dxfId="118" priority="76">
      <formula>$H477=CONST_NA</formula>
    </cfRule>
  </conditionalFormatting>
  <conditionalFormatting sqref="L508:M509 K511">
    <cfRule type="expression" dxfId="117" priority="70">
      <formula>$X508</formula>
    </cfRule>
  </conditionalFormatting>
  <conditionalFormatting sqref="D476:D483">
    <cfRule type="expression" dxfId="116" priority="69">
      <formula>$X476</formula>
    </cfRule>
  </conditionalFormatting>
  <conditionalFormatting sqref="D528:M538 E539:M539 M540">
    <cfRule type="expression" dxfId="115" priority="67">
      <formula>$X528</formula>
    </cfRule>
  </conditionalFormatting>
  <conditionalFormatting sqref="O550:O551 O553">
    <cfRule type="expression" dxfId="114" priority="65">
      <formula>$V550=TRUE</formula>
    </cfRule>
    <cfRule type="expression" dxfId="113" priority="66">
      <formula>$V550=CONST_NA</formula>
    </cfRule>
  </conditionalFormatting>
  <conditionalFormatting sqref="O529:O538">
    <cfRule type="expression" dxfId="112" priority="63">
      <formula>$V529=TRUE</formula>
    </cfRule>
    <cfRule type="expression" dxfId="111" priority="64">
      <formula>$V529=CONST_NA</formula>
    </cfRule>
  </conditionalFormatting>
  <conditionalFormatting sqref="D519:M525">
    <cfRule type="expression" dxfId="110" priority="68">
      <formula>$H519=CONST_NA</formula>
    </cfRule>
  </conditionalFormatting>
  <conditionalFormatting sqref="L550:M551 K553">
    <cfRule type="expression" dxfId="109" priority="62">
      <formula>$X550</formula>
    </cfRule>
  </conditionalFormatting>
  <conditionalFormatting sqref="D518:D525">
    <cfRule type="expression" dxfId="108" priority="61">
      <formula>$X518</formula>
    </cfRule>
  </conditionalFormatting>
  <conditionalFormatting sqref="D570:M580 E581:M581 M582">
    <cfRule type="expression" dxfId="107" priority="59">
      <formula>$X570</formula>
    </cfRule>
  </conditionalFormatting>
  <conditionalFormatting sqref="O592:O593 O595">
    <cfRule type="expression" dxfId="106" priority="57">
      <formula>$V592=TRUE</formula>
    </cfRule>
    <cfRule type="expression" dxfId="105" priority="58">
      <formula>$V592=CONST_NA</formula>
    </cfRule>
  </conditionalFormatting>
  <conditionalFormatting sqref="O571:O580">
    <cfRule type="expression" dxfId="104" priority="55">
      <formula>$V571=TRUE</formula>
    </cfRule>
    <cfRule type="expression" dxfId="103" priority="56">
      <formula>$V571=CONST_NA</formula>
    </cfRule>
  </conditionalFormatting>
  <conditionalFormatting sqref="D561:M567">
    <cfRule type="expression" dxfId="102" priority="60">
      <formula>$H561=CONST_NA</formula>
    </cfRule>
  </conditionalFormatting>
  <conditionalFormatting sqref="L592:M593 K595">
    <cfRule type="expression" dxfId="101" priority="54">
      <formula>$X592</formula>
    </cfRule>
  </conditionalFormatting>
  <conditionalFormatting sqref="D560:D567">
    <cfRule type="expression" dxfId="100" priority="53">
      <formula>$X560</formula>
    </cfRule>
  </conditionalFormatting>
  <conditionalFormatting sqref="D612:M622 E623:M623 M624">
    <cfRule type="expression" dxfId="99" priority="49">
      <formula>$X612</formula>
    </cfRule>
  </conditionalFormatting>
  <conditionalFormatting sqref="O634:O635 O637">
    <cfRule type="expression" dxfId="98" priority="47">
      <formula>$V634=TRUE</formula>
    </cfRule>
    <cfRule type="expression" dxfId="97" priority="48">
      <formula>$V634=CONST_NA</formula>
    </cfRule>
  </conditionalFormatting>
  <conditionalFormatting sqref="O613:O622">
    <cfRule type="expression" dxfId="96" priority="45">
      <formula>$V613=TRUE</formula>
    </cfRule>
    <cfRule type="expression" dxfId="95" priority="46">
      <formula>$V613=CONST_NA</formula>
    </cfRule>
  </conditionalFormatting>
  <conditionalFormatting sqref="D603:M609">
    <cfRule type="expression" dxfId="94" priority="50">
      <formula>$H603=CONST_NA</formula>
    </cfRule>
  </conditionalFormatting>
  <conditionalFormatting sqref="L634:M635 K637">
    <cfRule type="expression" dxfId="93" priority="44">
      <formula>$X634</formula>
    </cfRule>
  </conditionalFormatting>
  <conditionalFormatting sqref="D602:D609">
    <cfRule type="expression" dxfId="92" priority="43">
      <formula>$X602</formula>
    </cfRule>
  </conditionalFormatting>
  <conditionalFormatting sqref="D654:M664 E665:M665 M666">
    <cfRule type="expression" dxfId="91" priority="41">
      <formula>$X654</formula>
    </cfRule>
  </conditionalFormatting>
  <conditionalFormatting sqref="O676:O677 O679">
    <cfRule type="expression" dxfId="90" priority="39">
      <formula>$V676=TRUE</formula>
    </cfRule>
    <cfRule type="expression" dxfId="89" priority="40">
      <formula>$V676=CONST_NA</formula>
    </cfRule>
  </conditionalFormatting>
  <conditionalFormatting sqref="O655:O664">
    <cfRule type="expression" dxfId="88" priority="37">
      <formula>$V655=TRUE</formula>
    </cfRule>
    <cfRule type="expression" dxfId="87" priority="38">
      <formula>$V655=CONST_NA</formula>
    </cfRule>
  </conditionalFormatting>
  <conditionalFormatting sqref="D645:M651">
    <cfRule type="expression" dxfId="86" priority="42">
      <formula>$H645=CONST_NA</formula>
    </cfRule>
  </conditionalFormatting>
  <conditionalFormatting sqref="L676:M677 K679">
    <cfRule type="expression" dxfId="85" priority="36">
      <formula>$X676</formula>
    </cfRule>
  </conditionalFormatting>
  <conditionalFormatting sqref="D644:D651">
    <cfRule type="expression" dxfId="84" priority="35">
      <formula>$X644</formula>
    </cfRule>
  </conditionalFormatting>
  <conditionalFormatting sqref="D696:M706 E707:M707 M708">
    <cfRule type="expression" dxfId="83" priority="33">
      <formula>$X696</formula>
    </cfRule>
  </conditionalFormatting>
  <conditionalFormatting sqref="O718:O719 O721">
    <cfRule type="expression" dxfId="82" priority="31">
      <formula>$V718=TRUE</formula>
    </cfRule>
    <cfRule type="expression" dxfId="81" priority="32">
      <formula>$V718=CONST_NA</formula>
    </cfRule>
  </conditionalFormatting>
  <conditionalFormatting sqref="O697:O706">
    <cfRule type="expression" dxfId="80" priority="29">
      <formula>$V697=TRUE</formula>
    </cfRule>
    <cfRule type="expression" dxfId="79" priority="30">
      <formula>$V697=CONST_NA</formula>
    </cfRule>
  </conditionalFormatting>
  <conditionalFormatting sqref="D687:M693">
    <cfRule type="expression" dxfId="78" priority="34">
      <formula>$H687=CONST_NA</formula>
    </cfRule>
  </conditionalFormatting>
  <conditionalFormatting sqref="L718:M719 K721">
    <cfRule type="expression" dxfId="77" priority="28">
      <formula>$X718</formula>
    </cfRule>
  </conditionalFormatting>
  <conditionalFormatting sqref="D686:D693">
    <cfRule type="expression" dxfId="76" priority="27">
      <formula>$X686</formula>
    </cfRule>
  </conditionalFormatting>
  <conditionalFormatting sqref="C725:N764 C767:N806 C809:N848">
    <cfRule type="expression" dxfId="75" priority="25">
      <formula>INDEX($X:$X,MATCH(MAX(INDIRECT(ADDRESS(1,3)&amp;":"&amp;ADDRESS(ROW(C725),3))),$C:$C,0))</formula>
    </cfRule>
  </conditionalFormatting>
  <conditionalFormatting sqref="D738:M748 E749:M749 M750">
    <cfRule type="expression" dxfId="74" priority="23">
      <formula>$X738</formula>
    </cfRule>
  </conditionalFormatting>
  <conditionalFormatting sqref="O760:O761 O763">
    <cfRule type="expression" dxfId="73" priority="21">
      <formula>$V760=TRUE</formula>
    </cfRule>
    <cfRule type="expression" dxfId="72" priority="22">
      <formula>$V760=CONST_NA</formula>
    </cfRule>
  </conditionalFormatting>
  <conditionalFormatting sqref="O739:O748">
    <cfRule type="expression" dxfId="71" priority="19">
      <formula>$V739=TRUE</formula>
    </cfRule>
    <cfRule type="expression" dxfId="70" priority="20">
      <formula>$V739=CONST_NA</formula>
    </cfRule>
  </conditionalFormatting>
  <conditionalFormatting sqref="D729:M735">
    <cfRule type="expression" dxfId="69" priority="24">
      <formula>$H729=CONST_NA</formula>
    </cfRule>
  </conditionalFormatting>
  <conditionalFormatting sqref="L760:M761 K763">
    <cfRule type="expression" dxfId="68" priority="18">
      <formula>$X760</formula>
    </cfRule>
  </conditionalFormatting>
  <conditionalFormatting sqref="D728:D735">
    <cfRule type="expression" dxfId="67" priority="17">
      <formula>$X728</formula>
    </cfRule>
  </conditionalFormatting>
  <conditionalFormatting sqref="D780:M790 E791:M791 M792">
    <cfRule type="expression" dxfId="66" priority="15">
      <formula>$X780</formula>
    </cfRule>
  </conditionalFormatting>
  <conditionalFormatting sqref="O802:O803 O805">
    <cfRule type="expression" dxfId="65" priority="13">
      <formula>$V802=TRUE</formula>
    </cfRule>
    <cfRule type="expression" dxfId="64" priority="14">
      <formula>$V802=CONST_NA</formula>
    </cfRule>
  </conditionalFormatting>
  <conditionalFormatting sqref="O781:O790">
    <cfRule type="expression" dxfId="63" priority="11">
      <formula>$V781=TRUE</formula>
    </cfRule>
    <cfRule type="expression" dxfId="62" priority="12">
      <formula>$V781=CONST_NA</formula>
    </cfRule>
  </conditionalFormatting>
  <conditionalFormatting sqref="D771:M777">
    <cfRule type="expression" dxfId="61" priority="16">
      <formula>$H771=CONST_NA</formula>
    </cfRule>
  </conditionalFormatting>
  <conditionalFormatting sqref="L802:M803 K805">
    <cfRule type="expression" dxfId="60" priority="10">
      <formula>$X802</formula>
    </cfRule>
  </conditionalFormatting>
  <conditionalFormatting sqref="D770:D777">
    <cfRule type="expression" dxfId="59" priority="9">
      <formula>$X770</formula>
    </cfRule>
  </conditionalFormatting>
  <conditionalFormatting sqref="D822:M832 E833:M833 M834">
    <cfRule type="expression" dxfId="58" priority="7">
      <formula>$X822</formula>
    </cfRule>
  </conditionalFormatting>
  <conditionalFormatting sqref="O844:O845 O847">
    <cfRule type="expression" dxfId="57" priority="5">
      <formula>$V844=TRUE</formula>
    </cfRule>
    <cfRule type="expression" dxfId="56" priority="6">
      <formula>$V844=CONST_NA</formula>
    </cfRule>
  </conditionalFormatting>
  <conditionalFormatting sqref="O823:O832">
    <cfRule type="expression" dxfId="55" priority="3">
      <formula>$V823=TRUE</formula>
    </cfRule>
    <cfRule type="expression" dxfId="54" priority="4">
      <formula>$V823=CONST_NA</formula>
    </cfRule>
  </conditionalFormatting>
  <conditionalFormatting sqref="D813:M819">
    <cfRule type="expression" dxfId="53" priority="8">
      <formula>$H813=CONST_NA</formula>
    </cfRule>
  </conditionalFormatting>
  <conditionalFormatting sqref="L844:M845 K847">
    <cfRule type="expression" dxfId="52" priority="2">
      <formula>$X844</formula>
    </cfRule>
  </conditionalFormatting>
  <conditionalFormatting sqref="D812:D819">
    <cfRule type="expression" dxfId="51"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已命名的範圍</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Heller Christian</dc:creator>
  <cp:keywords/>
  <dc:description/>
  <cp:lastModifiedBy>Windows 使用者</cp:lastModifiedBy>
  <cp:revision/>
  <dcterms:created xsi:type="dcterms:W3CDTF">2024-01-30T12:24:07Z</dcterms:created>
  <dcterms:modified xsi:type="dcterms:W3CDTF">2026-01-09T02:54:06Z</dcterms:modified>
  <cp:category/>
  <cp:contentStatus/>
</cp:coreProperties>
</file>